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219" activeTab="0"/>
  </bookViews>
  <sheets>
    <sheet name="2003" sheetId="1" r:id="rId1"/>
    <sheet name="2002" sheetId="2" r:id="rId2"/>
    <sheet name="2001" sheetId="3" r:id="rId3"/>
  </sheets>
  <definedNames>
    <definedName name="_xlnm._FilterDatabase" localSheetId="2" hidden="1">'2001'!$A$1:$M$1</definedName>
    <definedName name="_xlnm._FilterDatabase" localSheetId="1" hidden="1">'2002'!$A$1:$M$35</definedName>
    <definedName name="_xlnm._FilterDatabase" localSheetId="0" hidden="1">'2003'!$A$1:$Q$42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C2" authorId="0">
      <text>
        <r>
          <rPr>
            <b/>
            <sz val="8"/>
            <rFont val="Tahoma"/>
            <family val="0"/>
          </rPr>
          <t>Poprvé na spinningu, docela jsem se zapotil ...</t>
        </r>
      </text>
    </comment>
    <comment ref="C3" authorId="0">
      <text>
        <r>
          <t/>
        </r>
      </text>
    </comment>
    <comment ref="C4" authorId="0">
      <text>
        <r>
          <rPr>
            <b/>
            <sz val="8"/>
            <rFont val="Tahoma"/>
            <family val="2"/>
          </rPr>
          <t xml:space="preserve">Pozdní odpoledne a pořád nádherné počasí, jde to jako na šlapání ve FP Smíchov... ale po hodině šlapání krize…zbytek je z kopce dolů a tak se krize nestačila na průměru tolik projeviz
</t>
        </r>
      </text>
    </comment>
    <comment ref="C5" authorId="0">
      <text>
        <r>
          <rPr>
            <b/>
            <sz val="8"/>
            <rFont val="Tahoma"/>
            <family val="2"/>
          </rPr>
          <t xml:space="preserve">Začátek až na kraj Jinočan stejná trasa jako včera, ale hlavně daleko pomalejší rozjezd (v Jinočanech cca stejný průměr) a až na Karštejn a v podstatě na začátek Vinařičáku (po boji nad sebou) průměr cca 21, ale pak to přišlo... a hlavně zpět proti větru…kolem Karlštejna jsem se vyplazil do Mořiny a Kuchař nahoru pod tratí (u vědomí časovky)-no koment a tak nějak jsem to dobrkal (Zaplať přírodo že konec je z kopce) až na Smíchov  
</t>
        </r>
      </text>
    </comment>
    <comment ref="C12" authorId="0">
      <text>
        <r>
          <rPr>
            <b/>
            <sz val="8"/>
            <rFont val="Tahoma"/>
            <family val="2"/>
          </rPr>
          <t xml:space="preserve">PROBA! Zkušební jízda na vypujčeném kole v okolí Říčan. Najeto cca 45 km.  
</t>
        </r>
      </text>
    </comment>
    <comment ref="C13" authorId="0">
      <text>
        <r>
          <rPr>
            <b/>
            <sz val="8"/>
            <rFont val="Tahoma"/>
            <family val="2"/>
          </rPr>
          <t>PREMIÉRA! Pulsoměr! Max hodnota 174 v kopci do Vinařic před vrcholem stoupání. Do kopce prům. 11,0 km/hod při hodnotách mezi 155 až 165. Stoupání z Loděnice do Hořelic (před Rudnou) celkem cca 5 km ve spodní části 155/při 19,5 km/hod a v horní 160 až 166/při 13,0 až 14,5 km/hod. Cca 40,0 km s Martinem Zvárou (Koněprus. jeskyně, Tobolka, Karlštejn, Srbsko, Sv. Jan pod Skalou,Loděnice) při hodn 130 až 169.</t>
        </r>
      </text>
    </comment>
  </commentList>
</comments>
</file>

<file path=xl/comments3.xml><?xml version="1.0" encoding="utf-8"?>
<comments xmlns="http://schemas.openxmlformats.org/spreadsheetml/2006/main">
  <authors>
    <author>rs</author>
  </authors>
  <commentList>
    <comment ref="N33" authorId="0">
      <text>
        <r>
          <rPr>
            <b/>
            <sz val="8"/>
            <rFont val="Tahoma"/>
            <family val="0"/>
          </rPr>
          <t>měřeno až od 13.07.2001</t>
        </r>
      </text>
    </comment>
    <comment ref="N36" authorId="0">
      <text>
        <r>
          <rPr>
            <b/>
            <sz val="8"/>
            <rFont val="Tahoma"/>
            <family val="0"/>
          </rPr>
          <t>měřeno až od 13.07.2001</t>
        </r>
      </text>
    </comment>
  </commentList>
</comments>
</file>

<file path=xl/sharedStrings.xml><?xml version="1.0" encoding="utf-8"?>
<sst xmlns="http://schemas.openxmlformats.org/spreadsheetml/2006/main" count="1068" uniqueCount="169">
  <si>
    <t>datum</t>
  </si>
  <si>
    <t>start</t>
  </si>
  <si>
    <t>přes</t>
  </si>
  <si>
    <t>vzdálenost</t>
  </si>
  <si>
    <t>čas v sedle</t>
  </si>
  <si>
    <t>max</t>
  </si>
  <si>
    <t>Zličín</t>
  </si>
  <si>
    <t>Tetín</t>
  </si>
  <si>
    <t>teplota</t>
  </si>
  <si>
    <t>počasí</t>
  </si>
  <si>
    <t>trasa</t>
  </si>
  <si>
    <t>kolo</t>
  </si>
  <si>
    <t>horák</t>
  </si>
  <si>
    <t>najeto</t>
  </si>
  <si>
    <t>průměrná teplota</t>
  </si>
  <si>
    <t>Beroun</t>
  </si>
  <si>
    <t>Radlická</t>
  </si>
  <si>
    <t>Jinočany</t>
  </si>
  <si>
    <t>Dobříč</t>
  </si>
  <si>
    <t>Kuchař</t>
  </si>
  <si>
    <t>Mořina</t>
  </si>
  <si>
    <t>Srbsko</t>
  </si>
  <si>
    <t>Vysoký Újezd</t>
  </si>
  <si>
    <t>Rudná</t>
  </si>
  <si>
    <t>Hostomice</t>
  </si>
  <si>
    <t>Neumětely</t>
  </si>
  <si>
    <t>Čestice</t>
  </si>
  <si>
    <t>Kvilda</t>
  </si>
  <si>
    <t>Churáňov</t>
  </si>
  <si>
    <t>Klatovy</t>
  </si>
  <si>
    <t>celkový čas</t>
  </si>
  <si>
    <t>Zbiroh</t>
  </si>
  <si>
    <t>Plasy</t>
  </si>
  <si>
    <t>Mýto</t>
  </si>
  <si>
    <t>Hořovice</t>
  </si>
  <si>
    <t>Rožmitál pod Třemšínem</t>
  </si>
  <si>
    <t>Bohutín</t>
  </si>
  <si>
    <t>průměr v sedle</t>
  </si>
  <si>
    <t>celkový průměr</t>
  </si>
  <si>
    <t>Dobřichovice</t>
  </si>
  <si>
    <t>Karlík</t>
  </si>
  <si>
    <t>Radotín</t>
  </si>
  <si>
    <t>silnice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</si>
  <si>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</si>
  <si>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</si>
  <si>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</si>
  <si>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</si>
  <si>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</si>
  <si>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</si>
  <si>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</si>
  <si>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</si>
  <si>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</si>
  <si>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</si>
  <si>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</si>
  <si>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</si>
  <si>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měsíce</t>
  </si>
  <si>
    <t>trenažér</t>
  </si>
  <si>
    <t>Factory Pro</t>
  </si>
  <si>
    <t>Smíchov</t>
  </si>
  <si>
    <t>jasno</t>
  </si>
  <si>
    <t>Vinařice/Koněprusy</t>
  </si>
  <si>
    <t>zataženo</t>
  </si>
  <si>
    <t>body</t>
  </si>
  <si>
    <t>celkem</t>
  </si>
  <si>
    <t>Křenice</t>
  </si>
  <si>
    <t>Doubek/Tismice</t>
  </si>
  <si>
    <t>polojasno</t>
  </si>
  <si>
    <t>tep-max</t>
  </si>
  <si>
    <t>tep - max</t>
  </si>
  <si>
    <t>Třebáň</t>
  </si>
  <si>
    <t>Radar</t>
  </si>
  <si>
    <t>sníh</t>
  </si>
  <si>
    <t>Třebotovka</t>
  </si>
  <si>
    <t>Ořech</t>
  </si>
  <si>
    <t>Rynholec</t>
  </si>
  <si>
    <t>Velká Dobrá</t>
  </si>
  <si>
    <t>Slovanka</t>
  </si>
  <si>
    <t>Polička</t>
  </si>
  <si>
    <t>LA</t>
  </si>
  <si>
    <t>Rampušák</t>
  </si>
  <si>
    <t>časovka</t>
  </si>
  <si>
    <t>Praděd</t>
  </si>
  <si>
    <t xml:space="preserve">najeté km </t>
  </si>
  <si>
    <t>za měsíc</t>
  </si>
  <si>
    <t>za rok</t>
  </si>
  <si>
    <t>průměr</t>
  </si>
  <si>
    <t>silnička</t>
  </si>
  <si>
    <t>IKEA</t>
  </si>
  <si>
    <t>oblačno</t>
  </si>
  <si>
    <t>sněhové přeháňky</t>
  </si>
  <si>
    <t>sunshine</t>
  </si>
  <si>
    <t>déšť, oblačno</t>
  </si>
  <si>
    <t>Boubín</t>
  </si>
  <si>
    <t>Král Šumavy</t>
  </si>
  <si>
    <t>zataženo, déšť</t>
  </si>
  <si>
    <t>mlha, sunshine</t>
  </si>
  <si>
    <t>vítr, sunshine</t>
  </si>
  <si>
    <t>měsíc</t>
  </si>
  <si>
    <t>033</t>
  </si>
  <si>
    <t>036</t>
  </si>
  <si>
    <t>Vinařice</t>
  </si>
  <si>
    <t>0,5 sunshine</t>
  </si>
  <si>
    <t>La</t>
  </si>
  <si>
    <t>Heřmanice</t>
  </si>
  <si>
    <t>oblačno, vítr</t>
  </si>
  <si>
    <t>034</t>
  </si>
  <si>
    <t>0,75 sunshine</t>
  </si>
  <si>
    <t>Brdy</t>
  </si>
  <si>
    <t>zataž., sníh</t>
  </si>
  <si>
    <t>časovka 14,5 km</t>
  </si>
  <si>
    <t>zataž., H2O</t>
  </si>
  <si>
    <t>039</t>
  </si>
  <si>
    <t>Máchlov</t>
  </si>
  <si>
    <t>Horní Mísečky</t>
  </si>
  <si>
    <t>040</t>
  </si>
  <si>
    <t>Špindlerovka</t>
  </si>
  <si>
    <t>041</t>
  </si>
  <si>
    <t>Ještěd</t>
  </si>
  <si>
    <t>042</t>
  </si>
  <si>
    <t>Jince</t>
  </si>
  <si>
    <t>045</t>
  </si>
  <si>
    <t>051</t>
  </si>
  <si>
    <t>Obecnice</t>
  </si>
  <si>
    <t>vedro</t>
  </si>
  <si>
    <t>052</t>
  </si>
  <si>
    <t xml:space="preserve">Rožnov </t>
  </si>
  <si>
    <t>Beskyd Tour</t>
  </si>
  <si>
    <t>055</t>
  </si>
  <si>
    <t>057</t>
  </si>
  <si>
    <t>Běleč</t>
  </si>
  <si>
    <t>Bělečské okruhy</t>
  </si>
  <si>
    <t>radar</t>
  </si>
  <si>
    <t>hj</t>
  </si>
  <si>
    <t>Běleč, rozjíždění</t>
  </si>
  <si>
    <t>Běleč, závod</t>
  </si>
  <si>
    <t>Štíty</t>
  </si>
  <si>
    <t>Všenory</t>
  </si>
  <si>
    <t>Jíloviště</t>
  </si>
  <si>
    <t>12.07:03</t>
  </si>
  <si>
    <t>déšť/jasno</t>
  </si>
  <si>
    <t>Beskydtour</t>
  </si>
  <si>
    <t>Sníchov</t>
  </si>
  <si>
    <t>Sojovice</t>
  </si>
  <si>
    <t>19:07.03</t>
  </si>
  <si>
    <t>Smíchov/soda</t>
  </si>
  <si>
    <t>Ramzová</t>
  </si>
  <si>
    <t>klobouk</t>
  </si>
  <si>
    <t>Ždírec/Doubr.</t>
  </si>
  <si>
    <t>Vysočina Road</t>
  </si>
  <si>
    <t>Šerlich</t>
  </si>
  <si>
    <t>Sázava</t>
  </si>
  <si>
    <t>Ledeč/Sázava</t>
  </si>
  <si>
    <t>Hanušovice</t>
  </si>
  <si>
    <t xml:space="preserve">Klatovy </t>
  </si>
  <si>
    <t>Skalka</t>
  </si>
  <si>
    <t>déšť, zataž.</t>
  </si>
  <si>
    <t>Řevnice</t>
  </si>
  <si>
    <t>CFC Vrchy</t>
  </si>
  <si>
    <t>Koledník</t>
  </si>
  <si>
    <t>Hlásná</t>
  </si>
  <si>
    <t>Karštejn</t>
  </si>
  <si>
    <t>Řeporyje</t>
  </si>
  <si>
    <t xml:space="preserve">Smíchov </t>
  </si>
  <si>
    <t>Bubovice</t>
  </si>
  <si>
    <t>válce</t>
  </si>
  <si>
    <t>Vinohrady</t>
  </si>
  <si>
    <t xml:space="preserve">Vinařice </t>
  </si>
  <si>
    <t>vítr, déšť</t>
  </si>
  <si>
    <t>Vnohrady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</si>
</sst>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#\°\C;\-#,###\°\C"/>
    <numFmt numFmtId="166" formatCode="#&quot; &quot;??/100"/>
    <numFmt numFmtId="167" formatCode="#,###\°\l;\-#,###\°\C"/>
    <numFmt numFmtId="168" formatCode="#,##0.00,&quot;km&quot;"/>
    <numFmt numFmtId="169" formatCode="#,###,&quot;km&quot;"/>
    <numFmt numFmtId="170" formatCode="#,##0.00&quot;km&quot;"/>
    <numFmt numFmtId="171" formatCode="#,##0.00&quot;km/hod&quot;"/>
    <numFmt numFmtId="172" formatCode="#,##0.00&quot; km/hod&quot;"/>
    <numFmt numFmtId="173" formatCode="#,##0.00&quot; km&quot;"/>
    <numFmt numFmtId="174" formatCode="[h]:mm:ss&quot; hod&quot;"/>
    <numFmt numFmtId="175" formatCode="#,##0.0&quot; km/hod&quot;"/>
    <numFmt numFmtId="176" formatCode="[&lt;=99999]###\ ##;##\ ##\ 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000"/>
    <numFmt numFmtId="182" formatCode="mmm/yyyy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ahoma"/>
      <family val="0"/>
    </font>
    <font>
      <sz val="8"/>
      <name val="Tahoma"/>
      <family val="2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1" fontId="5" fillId="2" borderId="0" xfId="0" applyNumberFormat="1" applyFont="1" applyFill="1" applyBorder="1" applyAlignment="1">
      <alignment horizontal="left"/>
    </xf>
    <xf numFmtId="172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73" fontId="5" fillId="0" borderId="1" xfId="0" applyNumberFormat="1" applyFont="1" applyBorder="1" applyAlignment="1">
      <alignment/>
    </xf>
    <xf numFmtId="174" fontId="5" fillId="0" borderId="1" xfId="0" applyNumberFormat="1" applyFont="1" applyBorder="1" applyAlignment="1">
      <alignment/>
    </xf>
    <xf numFmtId="175" fontId="5" fillId="0" borderId="1" xfId="0" applyNumberFormat="1" applyFont="1" applyBorder="1" applyAlignment="1">
      <alignment/>
    </xf>
    <xf numFmtId="164" fontId="5" fillId="2" borderId="0" xfId="0" applyNumberFormat="1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49" fontId="6" fillId="0" borderId="0" xfId="17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49" fontId="1" fillId="0" borderId="0" xfId="17" applyNumberFormat="1" applyFont="1" applyFill="1" applyBorder="1" applyAlignment="1">
      <alignment horizontal="center"/>
    </xf>
    <xf numFmtId="49" fontId="1" fillId="0" borderId="0" xfId="17" applyNumberForma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180" fontId="5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73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175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2" borderId="0" xfId="0" applyNumberFormat="1" applyFill="1" applyBorder="1" applyAlignment="1">
      <alignment horizontal="left"/>
    </xf>
    <xf numFmtId="165" fontId="0" fillId="2" borderId="0" xfId="0" applyNumberFormat="1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49" fontId="1" fillId="0" borderId="0" xfId="17" applyNumberFormat="1" applyFont="1" applyBorder="1" applyAlignment="1">
      <alignment horizontal="center"/>
    </xf>
    <xf numFmtId="49" fontId="1" fillId="0" borderId="0" xfId="17" applyNumberFormat="1" applyBorder="1" applyAlignment="1">
      <alignment horizontal="center"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164" fontId="0" fillId="3" borderId="0" xfId="0" applyNumberFormat="1" applyFill="1" applyBorder="1" applyAlignment="1">
      <alignment/>
    </xf>
    <xf numFmtId="165" fontId="0" fillId="3" borderId="0" xfId="0" applyNumberFormat="1" applyFill="1" applyBorder="1" applyAlignment="1">
      <alignment/>
    </xf>
    <xf numFmtId="49" fontId="1" fillId="3" borderId="0" xfId="17" applyNumberFormat="1" applyFont="1" applyFill="1" applyBorder="1" applyAlignment="1">
      <alignment horizontal="center"/>
    </xf>
    <xf numFmtId="173" fontId="0" fillId="3" borderId="0" xfId="0" applyNumberFormat="1" applyFill="1" applyBorder="1" applyAlignment="1">
      <alignment/>
    </xf>
    <xf numFmtId="172" fontId="0" fillId="3" borderId="0" xfId="0" applyNumberFormat="1" applyFill="1" applyBorder="1" applyAlignment="1">
      <alignment/>
    </xf>
    <xf numFmtId="174" fontId="0" fillId="3" borderId="0" xfId="0" applyNumberFormat="1" applyFill="1" applyBorder="1" applyAlignment="1">
      <alignment/>
    </xf>
    <xf numFmtId="175" fontId="0" fillId="3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3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16" fontId="5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="80" zoomScaleNormal="80" workbookViewId="0" topLeftCell="G1">
      <pane ySplit="1" topLeftCell="BM84" activePane="bottomLeft" state="frozen"/>
      <selection pane="topLeft" activeCell="A1" sqref="A1"/>
      <selection pane="bottomLeft" activeCell="A99" sqref="A99"/>
    </sheetView>
  </sheetViews>
  <sheetFormatPr defaultColWidth="9.00390625" defaultRowHeight="12.75"/>
  <cols>
    <col min="1" max="1" width="9.875" style="3" bestFit="1" customWidth="1"/>
    <col min="2" max="2" width="8.00390625" style="3" customWidth="1"/>
    <col min="3" max="3" width="8.75390625" style="6" customWidth="1"/>
    <col min="4" max="4" width="6.00390625" style="7" customWidth="1"/>
    <col min="5" max="5" width="10.25390625" style="6" customWidth="1"/>
    <col min="6" max="6" width="4.75390625" style="8" customWidth="1"/>
    <col min="7" max="7" width="12.75390625" style="3" bestFit="1" customWidth="1"/>
    <col min="8" max="8" width="15.00390625" style="3" bestFit="1" customWidth="1"/>
    <col min="9" max="9" width="11.00390625" style="9" customWidth="1"/>
    <col min="10" max="10" width="14.125" style="10" customWidth="1"/>
    <col min="11" max="11" width="12.25390625" style="11" customWidth="1"/>
    <col min="12" max="12" width="11.75390625" style="12" bestFit="1" customWidth="1"/>
    <col min="13" max="13" width="12.375" style="10" customWidth="1"/>
    <col min="14" max="14" width="13.875" style="3" bestFit="1" customWidth="1"/>
    <col min="15" max="15" width="6.25390625" style="32" customWidth="1"/>
    <col min="16" max="16" width="15.00390625" style="4" bestFit="1" customWidth="1"/>
    <col min="17" max="17" width="13.625" style="4" bestFit="1" customWidth="1"/>
    <col min="18" max="18" width="12.00390625" style="4" bestFit="1" customWidth="1"/>
    <col min="19" max="19" width="5.125" style="4" bestFit="1" customWidth="1"/>
    <col min="20" max="16384" width="15.875" style="4" customWidth="1"/>
  </cols>
  <sheetData>
    <row r="1" spans="1:15" s="1" customFormat="1" ht="12.75">
      <c r="A1" s="20" t="s">
        <v>11</v>
      </c>
      <c r="B1" s="20" t="s">
        <v>55</v>
      </c>
      <c r="C1" s="20" t="s">
        <v>0</v>
      </c>
      <c r="D1" s="21" t="s">
        <v>8</v>
      </c>
      <c r="E1" s="20" t="s">
        <v>9</v>
      </c>
      <c r="F1" s="22" t="s">
        <v>10</v>
      </c>
      <c r="G1" s="23" t="s">
        <v>1</v>
      </c>
      <c r="H1" s="23" t="s">
        <v>2</v>
      </c>
      <c r="I1" s="23" t="s">
        <v>3</v>
      </c>
      <c r="J1" s="23" t="s">
        <v>37</v>
      </c>
      <c r="K1" s="23" t="s">
        <v>4</v>
      </c>
      <c r="L1" s="23" t="s">
        <v>5</v>
      </c>
      <c r="M1" s="23" t="s">
        <v>30</v>
      </c>
      <c r="N1" s="23" t="s">
        <v>38</v>
      </c>
      <c r="O1" s="13" t="s">
        <v>67</v>
      </c>
    </row>
    <row r="2" spans="1:14" ht="12.75">
      <c r="A2" s="24" t="s">
        <v>56</v>
      </c>
      <c r="B2" s="24" t="s">
        <v>43</v>
      </c>
      <c r="C2" s="25">
        <v>37627</v>
      </c>
      <c r="D2" s="26"/>
      <c r="E2" s="25"/>
      <c r="F2" s="27"/>
      <c r="G2" s="24" t="s">
        <v>57</v>
      </c>
      <c r="H2" s="24" t="s">
        <v>58</v>
      </c>
      <c r="I2" s="28">
        <v>20</v>
      </c>
      <c r="J2" s="29">
        <v>20</v>
      </c>
      <c r="K2" s="30">
        <v>0.041666666666666664</v>
      </c>
      <c r="L2" s="31"/>
      <c r="M2" s="30">
        <v>0.041666666666666664</v>
      </c>
      <c r="N2" s="10">
        <f aca="true" t="shared" si="0" ref="N2:N8">(I2/M2)/24</f>
        <v>20</v>
      </c>
    </row>
    <row r="3" spans="1:14" ht="12.75">
      <c r="A3" s="24" t="s">
        <v>56</v>
      </c>
      <c r="B3" s="24" t="s">
        <v>43</v>
      </c>
      <c r="C3" s="25">
        <v>37634</v>
      </c>
      <c r="D3" s="26"/>
      <c r="E3" s="25"/>
      <c r="F3" s="27"/>
      <c r="G3" s="24" t="s">
        <v>57</v>
      </c>
      <c r="H3" s="24" t="s">
        <v>58</v>
      </c>
      <c r="I3" s="28">
        <v>20</v>
      </c>
      <c r="J3" s="29">
        <v>20</v>
      </c>
      <c r="K3" s="30">
        <v>0.041666666666666664</v>
      </c>
      <c r="L3" s="31"/>
      <c r="M3" s="30">
        <v>0.041666666666666664</v>
      </c>
      <c r="N3" s="10">
        <f t="shared" si="0"/>
        <v>20</v>
      </c>
    </row>
    <row r="4" spans="1:14" ht="12.75">
      <c r="A4" s="24" t="s">
        <v>42</v>
      </c>
      <c r="B4" s="24" t="s">
        <v>43</v>
      </c>
      <c r="C4" s="25">
        <v>37639</v>
      </c>
      <c r="D4" s="26">
        <v>3</v>
      </c>
      <c r="E4" s="25" t="s">
        <v>59</v>
      </c>
      <c r="F4" s="33"/>
      <c r="G4" s="24" t="s">
        <v>58</v>
      </c>
      <c r="H4" s="24" t="s">
        <v>23</v>
      </c>
      <c r="I4" s="28">
        <v>33.15</v>
      </c>
      <c r="J4" s="29">
        <v>23</v>
      </c>
      <c r="K4" s="30">
        <v>0.06004629629629629</v>
      </c>
      <c r="L4" s="31">
        <v>60</v>
      </c>
      <c r="M4" s="30">
        <v>0.06004629629629629</v>
      </c>
      <c r="N4" s="10">
        <f t="shared" si="0"/>
        <v>23.00308404009252</v>
      </c>
    </row>
    <row r="5" spans="1:14" ht="12.75">
      <c r="A5" s="24" t="s">
        <v>42</v>
      </c>
      <c r="B5" s="24" t="s">
        <v>43</v>
      </c>
      <c r="C5" s="25">
        <v>37640</v>
      </c>
      <c r="D5" s="26">
        <v>3</v>
      </c>
      <c r="E5" s="25" t="s">
        <v>59</v>
      </c>
      <c r="F5" s="34"/>
      <c r="G5" s="24" t="s">
        <v>58</v>
      </c>
      <c r="H5" s="24" t="s">
        <v>60</v>
      </c>
      <c r="I5" s="28">
        <v>86.4</v>
      </c>
      <c r="J5" s="29">
        <v>19.7</v>
      </c>
      <c r="K5" s="30">
        <v>0.18270833333333333</v>
      </c>
      <c r="L5" s="31">
        <v>62</v>
      </c>
      <c r="M5" s="30">
        <v>0.18270833333333333</v>
      </c>
      <c r="N5" s="10">
        <f t="shared" si="0"/>
        <v>19.703534777651083</v>
      </c>
    </row>
    <row r="6" spans="1:14" ht="12.75">
      <c r="A6" s="24" t="s">
        <v>56</v>
      </c>
      <c r="B6" s="24" t="s">
        <v>43</v>
      </c>
      <c r="C6" s="25">
        <v>37634</v>
      </c>
      <c r="D6" s="26"/>
      <c r="E6" s="25"/>
      <c r="F6" s="27"/>
      <c r="G6" s="24" t="s">
        <v>57</v>
      </c>
      <c r="H6" s="24" t="s">
        <v>58</v>
      </c>
      <c r="I6" s="28">
        <v>20</v>
      </c>
      <c r="J6" s="29">
        <v>20</v>
      </c>
      <c r="K6" s="30">
        <v>0.041666666666666664</v>
      </c>
      <c r="L6" s="31"/>
      <c r="M6" s="30">
        <v>0.041666666666666664</v>
      </c>
      <c r="N6" s="10">
        <f t="shared" si="0"/>
        <v>20</v>
      </c>
    </row>
    <row r="7" spans="1:14" ht="12.75">
      <c r="A7" s="24" t="s">
        <v>42</v>
      </c>
      <c r="B7" s="24" t="s">
        <v>43</v>
      </c>
      <c r="C7" s="25">
        <v>37646</v>
      </c>
      <c r="D7" s="26">
        <v>2</v>
      </c>
      <c r="E7" s="25" t="s">
        <v>61</v>
      </c>
      <c r="F7" s="27"/>
      <c r="G7" s="24" t="s">
        <v>58</v>
      </c>
      <c r="H7" s="24" t="s">
        <v>20</v>
      </c>
      <c r="I7" s="28">
        <v>53.6</v>
      </c>
      <c r="J7" s="29">
        <v>23.1</v>
      </c>
      <c r="K7" s="30">
        <v>0.09658564814814814</v>
      </c>
      <c r="L7" s="31">
        <v>56</v>
      </c>
      <c r="M7" s="30">
        <v>0.09658564814814814</v>
      </c>
      <c r="N7" s="10">
        <f t="shared" si="0"/>
        <v>23.122828040742963</v>
      </c>
    </row>
    <row r="8" spans="1:14" ht="12.75">
      <c r="A8" s="24" t="s">
        <v>56</v>
      </c>
      <c r="B8" s="24" t="s">
        <v>43</v>
      </c>
      <c r="C8" s="25">
        <v>37648</v>
      </c>
      <c r="D8" s="26"/>
      <c r="E8" s="25"/>
      <c r="F8" s="27"/>
      <c r="G8" s="24" t="s">
        <v>57</v>
      </c>
      <c r="H8" s="24" t="s">
        <v>58</v>
      </c>
      <c r="I8" s="28">
        <v>20</v>
      </c>
      <c r="J8" s="29">
        <v>20</v>
      </c>
      <c r="K8" s="30">
        <v>0.041666666666666664</v>
      </c>
      <c r="L8" s="31"/>
      <c r="M8" s="30">
        <v>0.041666666666666664</v>
      </c>
      <c r="N8" s="10">
        <f t="shared" si="0"/>
        <v>20</v>
      </c>
    </row>
    <row r="9" spans="1:15" s="5" customFormat="1" ht="12.75">
      <c r="A9" s="24" t="s">
        <v>56</v>
      </c>
      <c r="B9" s="24" t="s">
        <v>44</v>
      </c>
      <c r="C9" s="25">
        <v>37655</v>
      </c>
      <c r="D9" s="26"/>
      <c r="E9" s="25"/>
      <c r="F9" s="27"/>
      <c r="G9" s="24" t="s">
        <v>57</v>
      </c>
      <c r="H9" s="24" t="s">
        <v>58</v>
      </c>
      <c r="I9" s="28">
        <v>20</v>
      </c>
      <c r="J9" s="29">
        <v>20</v>
      </c>
      <c r="K9" s="30">
        <v>0.041666666666666664</v>
      </c>
      <c r="L9" s="31"/>
      <c r="M9" s="30">
        <v>0.041666666666666664</v>
      </c>
      <c r="N9" s="10">
        <f aca="true" t="shared" si="1" ref="N9:N15">(I9/M9)/24</f>
        <v>20</v>
      </c>
      <c r="O9" s="32"/>
    </row>
    <row r="10" spans="1:15" s="5" customFormat="1" ht="12.75">
      <c r="A10" s="24" t="s">
        <v>56</v>
      </c>
      <c r="B10" s="24" t="s">
        <v>44</v>
      </c>
      <c r="C10" s="25">
        <v>37662</v>
      </c>
      <c r="D10" s="26"/>
      <c r="E10" s="25"/>
      <c r="F10" s="27"/>
      <c r="G10" s="24" t="s">
        <v>57</v>
      </c>
      <c r="H10" s="24" t="s">
        <v>58</v>
      </c>
      <c r="I10" s="28">
        <v>20</v>
      </c>
      <c r="J10" s="29">
        <v>20</v>
      </c>
      <c r="K10" s="30">
        <v>0.041666666666666664</v>
      </c>
      <c r="L10" s="31"/>
      <c r="M10" s="30">
        <v>0.041666666666666664</v>
      </c>
      <c r="N10" s="10">
        <f t="shared" si="1"/>
        <v>20</v>
      </c>
      <c r="O10" s="32"/>
    </row>
    <row r="11" spans="1:15" s="5" customFormat="1" ht="12.75">
      <c r="A11" s="24" t="s">
        <v>56</v>
      </c>
      <c r="B11" s="24" t="s">
        <v>44</v>
      </c>
      <c r="C11" s="25">
        <v>37669</v>
      </c>
      <c r="D11" s="26"/>
      <c r="E11" s="25"/>
      <c r="F11" s="27"/>
      <c r="G11" s="24" t="s">
        <v>57</v>
      </c>
      <c r="H11" s="24" t="s">
        <v>58</v>
      </c>
      <c r="I11" s="28">
        <v>20</v>
      </c>
      <c r="J11" s="29">
        <v>20</v>
      </c>
      <c r="K11" s="30">
        <v>0.041666666666666664</v>
      </c>
      <c r="L11" s="31"/>
      <c r="M11" s="30">
        <v>0.041666666666666664</v>
      </c>
      <c r="N11" s="10">
        <f t="shared" si="1"/>
        <v>20</v>
      </c>
      <c r="O11" s="32"/>
    </row>
    <row r="12" spans="1:15" s="5" customFormat="1" ht="12.75">
      <c r="A12" s="24" t="s">
        <v>42</v>
      </c>
      <c r="B12" s="24" t="s">
        <v>44</v>
      </c>
      <c r="C12" s="25">
        <v>37674</v>
      </c>
      <c r="D12" s="26">
        <v>2</v>
      </c>
      <c r="E12" s="25" t="s">
        <v>59</v>
      </c>
      <c r="F12" s="34"/>
      <c r="G12" s="24" t="s">
        <v>64</v>
      </c>
      <c r="H12" s="24" t="s">
        <v>65</v>
      </c>
      <c r="I12" s="28">
        <v>45</v>
      </c>
      <c r="J12" s="29"/>
      <c r="K12" s="30">
        <v>0.09375</v>
      </c>
      <c r="L12" s="31"/>
      <c r="M12" s="30">
        <v>0.09375</v>
      </c>
      <c r="N12" s="10">
        <f t="shared" si="1"/>
        <v>20</v>
      </c>
      <c r="O12" s="32"/>
    </row>
    <row r="13" spans="1:15" s="5" customFormat="1" ht="12.75">
      <c r="A13" s="24" t="s">
        <v>42</v>
      </c>
      <c r="B13" s="24" t="s">
        <v>44</v>
      </c>
      <c r="C13" s="25">
        <v>37675</v>
      </c>
      <c r="D13" s="26">
        <v>3.5</v>
      </c>
      <c r="E13" s="25" t="s">
        <v>59</v>
      </c>
      <c r="F13" s="34"/>
      <c r="G13" s="24" t="s">
        <v>58</v>
      </c>
      <c r="H13" s="24" t="s">
        <v>60</v>
      </c>
      <c r="I13" s="28">
        <v>100.5</v>
      </c>
      <c r="J13" s="29">
        <v>21</v>
      </c>
      <c r="K13" s="30">
        <v>0.19930555555555554</v>
      </c>
      <c r="L13" s="31">
        <v>62</v>
      </c>
      <c r="M13" s="30">
        <v>0.19930555555555554</v>
      </c>
      <c r="N13" s="10">
        <f t="shared" si="1"/>
        <v>21.010452961672474</v>
      </c>
      <c r="O13" s="32">
        <v>174</v>
      </c>
    </row>
    <row r="14" spans="1:15" s="5" customFormat="1" ht="12.75">
      <c r="A14" s="24" t="s">
        <v>56</v>
      </c>
      <c r="B14" s="24" t="s">
        <v>44</v>
      </c>
      <c r="C14" s="25">
        <v>37676</v>
      </c>
      <c r="D14" s="26"/>
      <c r="E14" s="25"/>
      <c r="F14" s="27"/>
      <c r="G14" s="24" t="s">
        <v>57</v>
      </c>
      <c r="H14" s="24" t="s">
        <v>58</v>
      </c>
      <c r="I14" s="28">
        <v>20</v>
      </c>
      <c r="J14" s="29">
        <v>20</v>
      </c>
      <c r="K14" s="30">
        <v>0.041666666666666664</v>
      </c>
      <c r="L14" s="31"/>
      <c r="M14" s="30">
        <v>0.041666666666666664</v>
      </c>
      <c r="N14" s="10">
        <f t="shared" si="1"/>
        <v>20</v>
      </c>
      <c r="O14" s="32">
        <v>159</v>
      </c>
    </row>
    <row r="15" spans="1:15" s="5" customFormat="1" ht="12.75">
      <c r="A15" s="35" t="s">
        <v>42</v>
      </c>
      <c r="B15" s="35" t="s">
        <v>44</v>
      </c>
      <c r="C15" s="25">
        <v>37680</v>
      </c>
      <c r="D15" s="26">
        <v>10</v>
      </c>
      <c r="E15" s="25" t="s">
        <v>66</v>
      </c>
      <c r="F15" s="27"/>
      <c r="G15" s="24" t="s">
        <v>15</v>
      </c>
      <c r="H15" s="24" t="s">
        <v>60</v>
      </c>
      <c r="I15" s="28">
        <v>68.7</v>
      </c>
      <c r="J15" s="29">
        <v>21</v>
      </c>
      <c r="K15" s="30">
        <v>0.13629629629629628</v>
      </c>
      <c r="L15" s="31">
        <v>62</v>
      </c>
      <c r="M15" s="30">
        <v>0.1451388888888889</v>
      </c>
      <c r="N15" s="29">
        <f t="shared" si="1"/>
        <v>19.72248803827751</v>
      </c>
      <c r="O15" s="36">
        <v>177</v>
      </c>
    </row>
    <row r="16" spans="1:15" s="5" customFormat="1" ht="12.75">
      <c r="A16" s="24" t="s">
        <v>56</v>
      </c>
      <c r="B16" s="24" t="s">
        <v>45</v>
      </c>
      <c r="C16" s="25">
        <v>37683</v>
      </c>
      <c r="D16" s="26"/>
      <c r="E16" s="25"/>
      <c r="F16" s="27"/>
      <c r="G16" s="24" t="s">
        <v>57</v>
      </c>
      <c r="H16" s="24" t="s">
        <v>58</v>
      </c>
      <c r="I16" s="28">
        <v>20</v>
      </c>
      <c r="J16" s="29">
        <v>20</v>
      </c>
      <c r="K16" s="30">
        <v>0.041666666666666664</v>
      </c>
      <c r="L16" s="31"/>
      <c r="M16" s="30">
        <v>0.041666666666666664</v>
      </c>
      <c r="N16" s="10">
        <f aca="true" t="shared" si="2" ref="N16:N42">(I16/M16)/24</f>
        <v>20</v>
      </c>
      <c r="O16" s="32">
        <v>165</v>
      </c>
    </row>
    <row r="17" spans="1:15" s="5" customFormat="1" ht="12.75">
      <c r="A17" s="24" t="s">
        <v>56</v>
      </c>
      <c r="B17" s="24" t="s">
        <v>45</v>
      </c>
      <c r="C17" s="25">
        <v>37690</v>
      </c>
      <c r="D17" s="26"/>
      <c r="E17" s="25"/>
      <c r="F17" s="27"/>
      <c r="G17" s="24" t="s">
        <v>57</v>
      </c>
      <c r="H17" s="24" t="s">
        <v>58</v>
      </c>
      <c r="I17" s="28">
        <v>20</v>
      </c>
      <c r="J17" s="29">
        <v>20</v>
      </c>
      <c r="K17" s="30">
        <v>0.041666666666666664</v>
      </c>
      <c r="L17" s="31"/>
      <c r="M17" s="30">
        <v>0.041666666666666664</v>
      </c>
      <c r="N17" s="10">
        <f t="shared" si="2"/>
        <v>20</v>
      </c>
      <c r="O17" s="32">
        <v>162</v>
      </c>
    </row>
    <row r="18" spans="1:15" s="5" customFormat="1" ht="12.75">
      <c r="A18" s="24" t="s">
        <v>42</v>
      </c>
      <c r="B18" s="24" t="s">
        <v>45</v>
      </c>
      <c r="C18" s="25">
        <v>37695</v>
      </c>
      <c r="D18" s="26">
        <v>3</v>
      </c>
      <c r="E18" s="25" t="s">
        <v>66</v>
      </c>
      <c r="F18" s="27"/>
      <c r="G18" s="24" t="s">
        <v>58</v>
      </c>
      <c r="H18" s="24" t="s">
        <v>18</v>
      </c>
      <c r="I18" s="28">
        <v>39.57</v>
      </c>
      <c r="J18" s="29">
        <v>24.4</v>
      </c>
      <c r="K18" s="30">
        <v>0.06746527777777778</v>
      </c>
      <c r="L18" s="31">
        <v>55</v>
      </c>
      <c r="M18" s="30">
        <v>0.06746527777777778</v>
      </c>
      <c r="N18" s="29">
        <f t="shared" si="2"/>
        <v>24.438497169325785</v>
      </c>
      <c r="O18" s="36">
        <v>174</v>
      </c>
    </row>
    <row r="19" spans="1:15" s="5" customFormat="1" ht="12.75">
      <c r="A19" s="24" t="s">
        <v>42</v>
      </c>
      <c r="B19" s="24" t="s">
        <v>45</v>
      </c>
      <c r="C19" s="25">
        <v>37696</v>
      </c>
      <c r="D19" s="26">
        <v>8</v>
      </c>
      <c r="E19" s="25" t="s">
        <v>59</v>
      </c>
      <c r="F19" s="27"/>
      <c r="G19" s="24" t="s">
        <v>58</v>
      </c>
      <c r="H19" s="24" t="s">
        <v>21</v>
      </c>
      <c r="I19" s="28">
        <v>106.07</v>
      </c>
      <c r="J19" s="29">
        <v>22.6</v>
      </c>
      <c r="K19" s="30">
        <v>0.19542824074074075</v>
      </c>
      <c r="L19" s="31">
        <v>61</v>
      </c>
      <c r="M19" s="30">
        <v>0.2233912037037037</v>
      </c>
      <c r="N19" s="29">
        <f t="shared" si="2"/>
        <v>19.784052639759597</v>
      </c>
      <c r="O19" s="36"/>
    </row>
    <row r="20" spans="1:15" s="5" customFormat="1" ht="12.75">
      <c r="A20" s="24" t="s">
        <v>42</v>
      </c>
      <c r="B20" s="24" t="s">
        <v>45</v>
      </c>
      <c r="C20" s="25">
        <v>37698</v>
      </c>
      <c r="D20" s="26">
        <v>7</v>
      </c>
      <c r="E20" s="25"/>
      <c r="F20" s="27"/>
      <c r="G20" s="24" t="s">
        <v>58</v>
      </c>
      <c r="H20" s="24" t="s">
        <v>20</v>
      </c>
      <c r="I20" s="28">
        <v>55</v>
      </c>
      <c r="J20" s="29">
        <v>23.1</v>
      </c>
      <c r="K20" s="30">
        <v>0.0992013888888889</v>
      </c>
      <c r="L20" s="31">
        <v>58</v>
      </c>
      <c r="M20" s="30">
        <v>0.0992013888888889</v>
      </c>
      <c r="N20" s="29">
        <f t="shared" si="2"/>
        <v>23.101155057752887</v>
      </c>
      <c r="O20" s="36"/>
    </row>
    <row r="21" spans="1:15" s="5" customFormat="1" ht="12.75">
      <c r="A21" s="24" t="s">
        <v>42</v>
      </c>
      <c r="B21" s="24" t="s">
        <v>45</v>
      </c>
      <c r="C21" s="25">
        <v>37702</v>
      </c>
      <c r="D21" s="26">
        <v>7</v>
      </c>
      <c r="E21" s="25"/>
      <c r="F21" s="27"/>
      <c r="G21" s="24" t="s">
        <v>58</v>
      </c>
      <c r="H21" s="24" t="s">
        <v>69</v>
      </c>
      <c r="I21" s="28">
        <v>68.25</v>
      </c>
      <c r="J21" s="29">
        <v>24</v>
      </c>
      <c r="K21" s="30">
        <v>0.11847222222222221</v>
      </c>
      <c r="L21" s="31">
        <v>68</v>
      </c>
      <c r="M21" s="30">
        <v>0.11847222222222221</v>
      </c>
      <c r="N21" s="29">
        <f t="shared" si="2"/>
        <v>24.003516998827667</v>
      </c>
      <c r="O21" s="36"/>
    </row>
    <row r="22" spans="1:15" s="5" customFormat="1" ht="12.75">
      <c r="A22" s="24" t="s">
        <v>42</v>
      </c>
      <c r="B22" s="24" t="s">
        <v>45</v>
      </c>
      <c r="C22" s="25">
        <v>37703</v>
      </c>
      <c r="D22" s="26">
        <v>10</v>
      </c>
      <c r="E22" s="25"/>
      <c r="F22" s="27"/>
      <c r="G22" s="24" t="s">
        <v>58</v>
      </c>
      <c r="H22" s="24" t="s">
        <v>20</v>
      </c>
      <c r="I22" s="28">
        <v>53.76</v>
      </c>
      <c r="J22" s="29">
        <v>24.6</v>
      </c>
      <c r="K22" s="30">
        <v>0.09105324074074074</v>
      </c>
      <c r="L22" s="31">
        <v>59</v>
      </c>
      <c r="M22" s="30">
        <v>0.09105324074074074</v>
      </c>
      <c r="N22" s="29">
        <f t="shared" si="2"/>
        <v>24.60099148341172</v>
      </c>
      <c r="O22" s="36"/>
    </row>
    <row r="23" spans="1:15" s="5" customFormat="1" ht="12.75">
      <c r="A23" s="35" t="s">
        <v>42</v>
      </c>
      <c r="B23" s="35" t="s">
        <v>45</v>
      </c>
      <c r="C23" s="25">
        <v>37709</v>
      </c>
      <c r="D23" s="26">
        <v>11</v>
      </c>
      <c r="E23" s="25"/>
      <c r="F23" s="27"/>
      <c r="G23" s="24" t="s">
        <v>58</v>
      </c>
      <c r="H23" s="24" t="s">
        <v>70</v>
      </c>
      <c r="I23" s="28">
        <v>128</v>
      </c>
      <c r="J23" s="29">
        <v>22.9</v>
      </c>
      <c r="K23" s="30">
        <v>0.2328125</v>
      </c>
      <c r="L23" s="31">
        <v>67</v>
      </c>
      <c r="M23" s="30">
        <v>0.2328125</v>
      </c>
      <c r="N23" s="29">
        <f t="shared" si="2"/>
        <v>22.9082774049217</v>
      </c>
      <c r="O23" s="36"/>
    </row>
    <row r="24" spans="1:15" ht="12.75">
      <c r="A24" s="24" t="s">
        <v>42</v>
      </c>
      <c r="B24" s="24" t="s">
        <v>45</v>
      </c>
      <c r="C24" s="25">
        <v>37710</v>
      </c>
      <c r="D24" s="26">
        <v>14</v>
      </c>
      <c r="E24" s="25"/>
      <c r="F24" s="27"/>
      <c r="G24" s="24" t="s">
        <v>58</v>
      </c>
      <c r="H24" s="24" t="s">
        <v>21</v>
      </c>
      <c r="I24" s="28">
        <v>81</v>
      </c>
      <c r="J24" s="29">
        <v>25.5</v>
      </c>
      <c r="K24" s="30">
        <v>0.13221064814814815</v>
      </c>
      <c r="L24" s="31">
        <v>71</v>
      </c>
      <c r="M24" s="30">
        <v>0.13221064814814815</v>
      </c>
      <c r="N24" s="29">
        <f t="shared" si="2"/>
        <v>25.527444629256763</v>
      </c>
      <c r="O24" s="36"/>
    </row>
    <row r="25" spans="1:15" ht="12.75">
      <c r="A25" s="24" t="s">
        <v>42</v>
      </c>
      <c r="B25" s="24" t="s">
        <v>46</v>
      </c>
      <c r="C25" s="25">
        <v>37712</v>
      </c>
      <c r="D25" s="26">
        <v>12</v>
      </c>
      <c r="E25" s="25" t="s">
        <v>66</v>
      </c>
      <c r="F25" s="27"/>
      <c r="G25" s="24" t="s">
        <v>58</v>
      </c>
      <c r="H25" s="24" t="s">
        <v>19</v>
      </c>
      <c r="I25" s="28">
        <v>51</v>
      </c>
      <c r="J25" s="29">
        <v>25.64</v>
      </c>
      <c r="K25" s="30">
        <v>0.08287037037037037</v>
      </c>
      <c r="L25" s="31">
        <v>52</v>
      </c>
      <c r="M25" s="30">
        <v>0.08287037037037037</v>
      </c>
      <c r="N25" s="29">
        <f t="shared" si="2"/>
        <v>25.64245810055866</v>
      </c>
      <c r="O25" s="36"/>
    </row>
    <row r="26" spans="1:15" ht="12.75">
      <c r="A26" s="24" t="s">
        <v>42</v>
      </c>
      <c r="B26" s="24" t="s">
        <v>46</v>
      </c>
      <c r="C26" s="25">
        <v>37717</v>
      </c>
      <c r="D26" s="26">
        <v>1</v>
      </c>
      <c r="E26" s="25" t="s">
        <v>71</v>
      </c>
      <c r="F26" s="27"/>
      <c r="G26" s="24" t="s">
        <v>41</v>
      </c>
      <c r="H26" s="24" t="s">
        <v>72</v>
      </c>
      <c r="I26" s="28">
        <v>3.8</v>
      </c>
      <c r="J26" s="29">
        <v>15.1</v>
      </c>
      <c r="K26" s="30">
        <v>0.010439814814814813</v>
      </c>
      <c r="L26" s="31">
        <v>27</v>
      </c>
      <c r="M26" s="30">
        <v>0.010439814814814813</v>
      </c>
      <c r="N26" s="29">
        <f t="shared" si="2"/>
        <v>15.166297117516633</v>
      </c>
      <c r="O26" s="36"/>
    </row>
    <row r="27" spans="1:15" ht="12.75">
      <c r="A27" s="24" t="s">
        <v>42</v>
      </c>
      <c r="B27" s="24" t="s">
        <v>46</v>
      </c>
      <c r="C27" s="25">
        <v>37717</v>
      </c>
      <c r="D27" s="26">
        <v>1</v>
      </c>
      <c r="E27" s="25" t="s">
        <v>71</v>
      </c>
      <c r="F27" s="27"/>
      <c r="G27" s="24" t="s">
        <v>41</v>
      </c>
      <c r="H27" s="24" t="s">
        <v>72</v>
      </c>
      <c r="I27" s="28">
        <v>16.2</v>
      </c>
      <c r="J27" s="29">
        <v>21.6</v>
      </c>
      <c r="K27" s="30">
        <v>0.027777777777777776</v>
      </c>
      <c r="L27" s="31">
        <v>56</v>
      </c>
      <c r="M27" s="30">
        <v>0.03125</v>
      </c>
      <c r="N27" s="29">
        <f t="shared" si="2"/>
        <v>21.599999999999998</v>
      </c>
      <c r="O27" s="36"/>
    </row>
    <row r="28" spans="1:15" ht="12.75">
      <c r="A28" s="35" t="s">
        <v>42</v>
      </c>
      <c r="B28" s="24" t="s">
        <v>46</v>
      </c>
      <c r="C28" s="25">
        <v>37724</v>
      </c>
      <c r="D28" s="26">
        <v>10</v>
      </c>
      <c r="E28" s="25"/>
      <c r="F28" s="27"/>
      <c r="G28" s="24" t="s">
        <v>58</v>
      </c>
      <c r="H28" s="24" t="s">
        <v>70</v>
      </c>
      <c r="I28" s="28">
        <v>154</v>
      </c>
      <c r="J28" s="29">
        <v>22.45</v>
      </c>
      <c r="K28" s="30">
        <v>0.2887268518518518</v>
      </c>
      <c r="L28" s="31">
        <v>73</v>
      </c>
      <c r="M28" s="30">
        <v>0.3326388888888889</v>
      </c>
      <c r="N28" s="29">
        <f t="shared" si="2"/>
        <v>19.2901878914405</v>
      </c>
      <c r="O28" s="36"/>
    </row>
    <row r="29" spans="1:15" ht="12.75">
      <c r="A29" s="24" t="s">
        <v>42</v>
      </c>
      <c r="B29" s="24" t="s">
        <v>46</v>
      </c>
      <c r="C29" s="25">
        <v>37731</v>
      </c>
      <c r="D29" s="26">
        <v>15</v>
      </c>
      <c r="E29" s="25" t="s">
        <v>66</v>
      </c>
      <c r="F29" s="27"/>
      <c r="G29" s="24" t="s">
        <v>58</v>
      </c>
      <c r="H29" s="24" t="s">
        <v>70</v>
      </c>
      <c r="I29" s="28">
        <v>131</v>
      </c>
      <c r="J29" s="29">
        <v>23.2</v>
      </c>
      <c r="K29" s="30">
        <v>0.23372685185185185</v>
      </c>
      <c r="L29" s="31">
        <v>77</v>
      </c>
      <c r="M29" s="30">
        <v>0.31666666666666665</v>
      </c>
      <c r="N29" s="29">
        <f t="shared" si="2"/>
        <v>17.236842105263158</v>
      </c>
      <c r="O29" s="36"/>
    </row>
    <row r="30" spans="1:15" ht="12.75">
      <c r="A30" s="24" t="s">
        <v>42</v>
      </c>
      <c r="B30" s="24" t="s">
        <v>46</v>
      </c>
      <c r="C30" s="25">
        <v>37732</v>
      </c>
      <c r="D30" s="26">
        <v>16</v>
      </c>
      <c r="E30" s="25" t="s">
        <v>66</v>
      </c>
      <c r="F30" s="27"/>
      <c r="G30" s="24" t="s">
        <v>58</v>
      </c>
      <c r="H30" s="24" t="s">
        <v>20</v>
      </c>
      <c r="I30" s="28">
        <v>65</v>
      </c>
      <c r="J30" s="29">
        <v>24.24</v>
      </c>
      <c r="K30" s="30">
        <v>0.11172453703703704</v>
      </c>
      <c r="L30" s="31">
        <v>67</v>
      </c>
      <c r="M30" s="30">
        <v>0.11172453703703704</v>
      </c>
      <c r="N30" s="29">
        <f t="shared" si="2"/>
        <v>24.24116854863773</v>
      </c>
      <c r="O30" s="36"/>
    </row>
    <row r="31" spans="1:15" ht="12.75">
      <c r="A31" s="24" t="s">
        <v>42</v>
      </c>
      <c r="B31" s="24" t="s">
        <v>46</v>
      </c>
      <c r="C31" s="25">
        <v>37736</v>
      </c>
      <c r="D31" s="26">
        <v>16</v>
      </c>
      <c r="E31" s="25" t="s">
        <v>66</v>
      </c>
      <c r="F31" s="27"/>
      <c r="G31" s="24" t="s">
        <v>58</v>
      </c>
      <c r="H31" s="24" t="s">
        <v>73</v>
      </c>
      <c r="I31" s="28">
        <v>39</v>
      </c>
      <c r="J31" s="29">
        <v>26.37</v>
      </c>
      <c r="K31" s="30">
        <v>0.06163194444444445</v>
      </c>
      <c r="L31" s="31">
        <v>60</v>
      </c>
      <c r="M31" s="30">
        <v>0.06163194444444445</v>
      </c>
      <c r="N31" s="29">
        <f t="shared" si="2"/>
        <v>26.366197183098592</v>
      </c>
      <c r="O31" s="36"/>
    </row>
    <row r="32" spans="1:15" ht="12.75">
      <c r="A32" s="24" t="s">
        <v>42</v>
      </c>
      <c r="B32" s="24" t="s">
        <v>46</v>
      </c>
      <c r="C32" s="25">
        <v>37737</v>
      </c>
      <c r="D32" s="26">
        <v>24</v>
      </c>
      <c r="E32" s="25" t="s">
        <v>59</v>
      </c>
      <c r="F32" s="27"/>
      <c r="G32" s="24" t="s">
        <v>58</v>
      </c>
      <c r="H32" s="24" t="s">
        <v>22</v>
      </c>
      <c r="I32" s="28">
        <v>51</v>
      </c>
      <c r="J32" s="29">
        <v>24.59</v>
      </c>
      <c r="K32" s="30">
        <v>0.08640046296296296</v>
      </c>
      <c r="L32" s="31">
        <v>61</v>
      </c>
      <c r="M32" s="30">
        <v>0.08640046296296296</v>
      </c>
      <c r="N32" s="29">
        <f t="shared" si="2"/>
        <v>24.59477561955794</v>
      </c>
      <c r="O32" s="36"/>
    </row>
    <row r="33" spans="1:15" ht="12.75">
      <c r="A33" s="24" t="s">
        <v>42</v>
      </c>
      <c r="B33" s="24" t="s">
        <v>47</v>
      </c>
      <c r="C33" s="25">
        <v>37742</v>
      </c>
      <c r="D33" s="26">
        <v>20</v>
      </c>
      <c r="E33" s="25" t="s">
        <v>66</v>
      </c>
      <c r="F33" s="27"/>
      <c r="G33" s="24" t="s">
        <v>74</v>
      </c>
      <c r="H33" s="24" t="s">
        <v>58</v>
      </c>
      <c r="I33" s="28">
        <v>49</v>
      </c>
      <c r="J33" s="29">
        <v>32.25</v>
      </c>
      <c r="K33" s="30">
        <v>0.061724537037037036</v>
      </c>
      <c r="L33" s="31">
        <v>64</v>
      </c>
      <c r="M33" s="30">
        <v>0.06331018518518518</v>
      </c>
      <c r="N33" s="29">
        <f t="shared" si="2"/>
        <v>32.24862888482633</v>
      </c>
      <c r="O33" s="36"/>
    </row>
    <row r="34" spans="1:15" ht="12.75">
      <c r="A34" s="24" t="s">
        <v>42</v>
      </c>
      <c r="B34" s="24" t="s">
        <v>47</v>
      </c>
      <c r="C34" s="25">
        <v>37743</v>
      </c>
      <c r="D34" s="26">
        <v>20</v>
      </c>
      <c r="E34" s="25" t="s">
        <v>66</v>
      </c>
      <c r="F34" s="27"/>
      <c r="G34" s="24" t="s">
        <v>75</v>
      </c>
      <c r="H34" s="24" t="s">
        <v>75</v>
      </c>
      <c r="I34" s="28">
        <v>24</v>
      </c>
      <c r="J34" s="29">
        <v>32.36</v>
      </c>
      <c r="K34" s="30">
        <v>0.03072916666666667</v>
      </c>
      <c r="L34" s="31">
        <v>53</v>
      </c>
      <c r="M34" s="30">
        <v>0.03090277777777778</v>
      </c>
      <c r="N34" s="29">
        <f t="shared" si="2"/>
        <v>32.359550561797754</v>
      </c>
      <c r="O34" s="36"/>
    </row>
    <row r="35" spans="1:15" ht="12.75">
      <c r="A35" s="24" t="s">
        <v>42</v>
      </c>
      <c r="B35" s="24" t="s">
        <v>47</v>
      </c>
      <c r="C35" s="25">
        <v>37745</v>
      </c>
      <c r="D35" s="26">
        <v>24</v>
      </c>
      <c r="E35" s="25" t="s">
        <v>59</v>
      </c>
      <c r="F35" s="27"/>
      <c r="G35" s="24" t="s">
        <v>75</v>
      </c>
      <c r="H35" s="24" t="s">
        <v>75</v>
      </c>
      <c r="I35" s="28">
        <v>14.3</v>
      </c>
      <c r="J35" s="29">
        <v>31.14</v>
      </c>
      <c r="K35" s="30">
        <v>0.019131944444444444</v>
      </c>
      <c r="L35" s="31">
        <v>53</v>
      </c>
      <c r="M35" s="30">
        <v>0.019131944444444444</v>
      </c>
      <c r="N35" s="29">
        <f t="shared" si="2"/>
        <v>31.143375680580764</v>
      </c>
      <c r="O35" s="36"/>
    </row>
    <row r="36" spans="1:15" ht="12.75">
      <c r="A36" s="24" t="s">
        <v>42</v>
      </c>
      <c r="B36" s="24" t="s">
        <v>47</v>
      </c>
      <c r="C36" s="25">
        <v>37745</v>
      </c>
      <c r="D36" s="26">
        <v>24</v>
      </c>
      <c r="E36" s="25" t="s">
        <v>59</v>
      </c>
      <c r="F36" s="27"/>
      <c r="G36" s="24" t="s">
        <v>75</v>
      </c>
      <c r="H36" s="24" t="s">
        <v>76</v>
      </c>
      <c r="I36" s="28">
        <v>9</v>
      </c>
      <c r="J36" s="29">
        <v>25.71</v>
      </c>
      <c r="K36" s="30">
        <v>0.013888888888888888</v>
      </c>
      <c r="L36" s="31">
        <v>47</v>
      </c>
      <c r="M36" s="30">
        <v>0.014583333333333332</v>
      </c>
      <c r="N36" s="29">
        <f t="shared" si="2"/>
        <v>25.71428571428572</v>
      </c>
      <c r="O36" s="36"/>
    </row>
    <row r="37" spans="1:15" ht="12.75">
      <c r="A37" s="24" t="s">
        <v>42</v>
      </c>
      <c r="B37" s="24" t="s">
        <v>47</v>
      </c>
      <c r="C37" s="25">
        <v>37745</v>
      </c>
      <c r="D37" s="26">
        <v>20</v>
      </c>
      <c r="E37" s="25" t="s">
        <v>59</v>
      </c>
      <c r="F37" s="27"/>
      <c r="G37" s="24" t="s">
        <v>76</v>
      </c>
      <c r="H37" s="24" t="s">
        <v>75</v>
      </c>
      <c r="I37" s="28">
        <v>77.7</v>
      </c>
      <c r="J37" s="29">
        <v>23.17</v>
      </c>
      <c r="K37" s="30">
        <v>0.13972222222222222</v>
      </c>
      <c r="L37" s="31">
        <v>66</v>
      </c>
      <c r="M37" s="30">
        <v>0.16611111111111113</v>
      </c>
      <c r="N37" s="29">
        <f t="shared" si="2"/>
        <v>19.489966555183944</v>
      </c>
      <c r="O37" s="36"/>
    </row>
    <row r="38" spans="1:15" ht="12.75">
      <c r="A38" s="24" t="s">
        <v>42</v>
      </c>
      <c r="B38" s="24" t="s">
        <v>47</v>
      </c>
      <c r="C38" s="25">
        <v>37750</v>
      </c>
      <c r="D38" s="26">
        <v>22</v>
      </c>
      <c r="E38" s="25" t="s">
        <v>66</v>
      </c>
      <c r="F38" s="27"/>
      <c r="G38" s="24" t="s">
        <v>77</v>
      </c>
      <c r="H38" s="24" t="s">
        <v>77</v>
      </c>
      <c r="I38" s="28">
        <v>205</v>
      </c>
      <c r="J38" s="29">
        <v>23.23</v>
      </c>
      <c r="K38" s="30">
        <v>0.3681481481481481</v>
      </c>
      <c r="L38" s="31">
        <v>81</v>
      </c>
      <c r="M38" s="30">
        <v>0.4375</v>
      </c>
      <c r="N38" s="29">
        <f t="shared" si="2"/>
        <v>19.523809523809522</v>
      </c>
      <c r="O38" s="36"/>
    </row>
    <row r="39" spans="1:15" ht="12.75">
      <c r="A39" s="24" t="s">
        <v>42</v>
      </c>
      <c r="B39" s="24" t="s">
        <v>47</v>
      </c>
      <c r="C39" s="25">
        <v>37751</v>
      </c>
      <c r="D39" s="26">
        <v>21</v>
      </c>
      <c r="E39" s="25" t="s">
        <v>66</v>
      </c>
      <c r="F39" s="27"/>
      <c r="G39" s="24" t="s">
        <v>78</v>
      </c>
      <c r="H39" s="24" t="s">
        <v>78</v>
      </c>
      <c r="I39" s="28">
        <v>13</v>
      </c>
      <c r="J39" s="29">
        <v>25.16</v>
      </c>
      <c r="K39" s="30">
        <v>0.02152777777777778</v>
      </c>
      <c r="L39" s="31">
        <v>60</v>
      </c>
      <c r="M39" s="30">
        <v>0.02152777777777778</v>
      </c>
      <c r="N39" s="29">
        <f t="shared" si="2"/>
        <v>25.16129032258064</v>
      </c>
      <c r="O39" s="36"/>
    </row>
    <row r="40" spans="1:15" ht="12.75">
      <c r="A40" s="24" t="s">
        <v>42</v>
      </c>
      <c r="B40" s="24" t="s">
        <v>47</v>
      </c>
      <c r="C40" s="25">
        <v>37753</v>
      </c>
      <c r="D40" s="26">
        <v>18</v>
      </c>
      <c r="E40" s="25" t="s">
        <v>88</v>
      </c>
      <c r="F40" s="27"/>
      <c r="G40" s="24" t="s">
        <v>58</v>
      </c>
      <c r="H40" s="24" t="s">
        <v>19</v>
      </c>
      <c r="I40" s="28">
        <v>45</v>
      </c>
      <c r="J40" s="29">
        <v>24.72</v>
      </c>
      <c r="K40" s="30">
        <v>0.07585648148148148</v>
      </c>
      <c r="L40" s="31">
        <v>66</v>
      </c>
      <c r="M40" s="30">
        <v>0.07585648148148148</v>
      </c>
      <c r="N40" s="29">
        <f t="shared" si="2"/>
        <v>24.717729630759838</v>
      </c>
      <c r="O40" s="36"/>
    </row>
    <row r="41" spans="1:15" ht="12.75">
      <c r="A41" s="24" t="s">
        <v>42</v>
      </c>
      <c r="B41" s="24" t="s">
        <v>47</v>
      </c>
      <c r="C41" s="25">
        <v>37758</v>
      </c>
      <c r="D41" s="26">
        <v>22</v>
      </c>
      <c r="E41" s="25" t="s">
        <v>59</v>
      </c>
      <c r="F41" s="27"/>
      <c r="G41" s="24" t="s">
        <v>40</v>
      </c>
      <c r="H41" s="24" t="s">
        <v>19</v>
      </c>
      <c r="I41" s="28">
        <v>7.1</v>
      </c>
      <c r="J41" s="29">
        <v>24.2</v>
      </c>
      <c r="K41" s="30">
        <v>0.012199074074074072</v>
      </c>
      <c r="L41" s="31">
        <v>31</v>
      </c>
      <c r="M41" s="30">
        <v>0.012199074074074072</v>
      </c>
      <c r="N41" s="29">
        <f t="shared" si="2"/>
        <v>24.25047438330171</v>
      </c>
      <c r="O41" s="36"/>
    </row>
    <row r="42" spans="1:15" ht="12.75">
      <c r="A42" s="24" t="s">
        <v>42</v>
      </c>
      <c r="B42" s="24" t="s">
        <v>47</v>
      </c>
      <c r="C42" s="25">
        <v>37758</v>
      </c>
      <c r="D42" s="26">
        <v>22</v>
      </c>
      <c r="E42" s="25" t="s">
        <v>59</v>
      </c>
      <c r="F42" s="27"/>
      <c r="G42" s="24" t="s">
        <v>40</v>
      </c>
      <c r="H42" s="24" t="s">
        <v>39</v>
      </c>
      <c r="I42" s="28">
        <v>15.9</v>
      </c>
      <c r="J42" s="29">
        <v>21.2</v>
      </c>
      <c r="K42" s="30">
        <v>0.03125</v>
      </c>
      <c r="L42" s="31">
        <v>45</v>
      </c>
      <c r="M42" s="30">
        <v>0.03125</v>
      </c>
      <c r="N42" s="29">
        <f t="shared" si="2"/>
        <v>21.2</v>
      </c>
      <c r="O42" s="36"/>
    </row>
    <row r="43" spans="1:15" ht="12.75">
      <c r="A43" s="24" t="s">
        <v>42</v>
      </c>
      <c r="B43" s="24" t="s">
        <v>47</v>
      </c>
      <c r="C43" s="25">
        <v>37765</v>
      </c>
      <c r="D43" s="26">
        <v>22</v>
      </c>
      <c r="E43" s="25" t="s">
        <v>59</v>
      </c>
      <c r="F43" s="27"/>
      <c r="G43" s="24" t="s">
        <v>78</v>
      </c>
      <c r="H43" s="24" t="s">
        <v>79</v>
      </c>
      <c r="I43" s="28">
        <v>201</v>
      </c>
      <c r="J43" s="29">
        <v>22.25</v>
      </c>
      <c r="K43" s="30">
        <v>0.3764699074074074</v>
      </c>
      <c r="L43" s="31">
        <v>66</v>
      </c>
      <c r="M43" s="30">
        <v>0.4570486111111111</v>
      </c>
      <c r="N43" s="29">
        <f>(I43/M43)/24</f>
        <v>18.324090252981843</v>
      </c>
      <c r="O43" s="36"/>
    </row>
    <row r="44" spans="1:15" ht="12.75">
      <c r="A44" s="24" t="s">
        <v>42</v>
      </c>
      <c r="B44" s="24" t="s">
        <v>47</v>
      </c>
      <c r="C44" s="25">
        <v>37766</v>
      </c>
      <c r="D44" s="26">
        <v>25</v>
      </c>
      <c r="E44" s="25" t="s">
        <v>59</v>
      </c>
      <c r="F44" s="27"/>
      <c r="G44" s="24" t="s">
        <v>78</v>
      </c>
      <c r="H44" s="24" t="s">
        <v>80</v>
      </c>
      <c r="I44" s="28">
        <v>16</v>
      </c>
      <c r="J44" s="29">
        <v>21.84</v>
      </c>
      <c r="K44" s="30">
        <v>0.030520833333333334</v>
      </c>
      <c r="L44" s="31">
        <v>66</v>
      </c>
      <c r="M44" s="30">
        <v>0.030520833333333334</v>
      </c>
      <c r="N44" s="29">
        <f>(I44/M44)/24</f>
        <v>21.84300341296928</v>
      </c>
      <c r="O44" s="36"/>
    </row>
    <row r="45" spans="1:15" ht="12.75">
      <c r="A45" s="24" t="s">
        <v>42</v>
      </c>
      <c r="B45" s="24" t="s">
        <v>47</v>
      </c>
      <c r="C45" s="25">
        <v>37772</v>
      </c>
      <c r="D45" s="26">
        <v>25</v>
      </c>
      <c r="E45" s="25" t="s">
        <v>59</v>
      </c>
      <c r="F45" s="27"/>
      <c r="G45" s="24" t="s">
        <v>78</v>
      </c>
      <c r="H45" s="24" t="s">
        <v>81</v>
      </c>
      <c r="I45" s="28">
        <v>221.48</v>
      </c>
      <c r="J45" s="29">
        <v>23.01</v>
      </c>
      <c r="K45" s="30">
        <v>0.4010648148148148</v>
      </c>
      <c r="L45" s="31">
        <v>76</v>
      </c>
      <c r="M45" s="30">
        <v>0.4841087962962963</v>
      </c>
      <c r="N45" s="29">
        <f>(I45/M45)/24</f>
        <v>19.062519425251633</v>
      </c>
      <c r="O45" s="36"/>
    </row>
    <row r="46" spans="1:15" ht="12.75">
      <c r="A46" s="24" t="s">
        <v>42</v>
      </c>
      <c r="B46" s="24" t="s">
        <v>48</v>
      </c>
      <c r="C46" s="25">
        <v>37779</v>
      </c>
      <c r="D46" s="26">
        <v>23</v>
      </c>
      <c r="E46" s="25" t="s">
        <v>59</v>
      </c>
      <c r="F46" s="27"/>
      <c r="G46" s="24" t="s">
        <v>58</v>
      </c>
      <c r="H46" s="24" t="s">
        <v>22</v>
      </c>
      <c r="I46" s="28">
        <v>50.52</v>
      </c>
      <c r="J46" s="29">
        <v>26.88</v>
      </c>
      <c r="K46" s="30">
        <v>0.07829861111111111</v>
      </c>
      <c r="L46" s="31">
        <v>61</v>
      </c>
      <c r="M46" s="30">
        <v>0.07829861111111111</v>
      </c>
      <c r="N46" s="29">
        <f>(I46/M46)/24</f>
        <v>26.884257206208428</v>
      </c>
      <c r="O46" s="36"/>
    </row>
    <row r="47" spans="1:15" ht="12.75">
      <c r="A47" s="24" t="s">
        <v>42</v>
      </c>
      <c r="B47" s="24" t="s">
        <v>48</v>
      </c>
      <c r="C47" s="25">
        <v>37780</v>
      </c>
      <c r="D47" s="26">
        <v>24</v>
      </c>
      <c r="E47" s="25" t="s">
        <v>59</v>
      </c>
      <c r="F47" s="27"/>
      <c r="G47" s="24" t="s">
        <v>129</v>
      </c>
      <c r="H47" s="24" t="s">
        <v>133</v>
      </c>
      <c r="I47" s="28">
        <v>8.3</v>
      </c>
      <c r="J47" s="29"/>
      <c r="K47" s="30"/>
      <c r="L47" s="31"/>
      <c r="M47" s="30"/>
      <c r="N47" s="29"/>
      <c r="O47" s="36"/>
    </row>
    <row r="48" spans="1:15" ht="12.75">
      <c r="A48" s="24" t="s">
        <v>42</v>
      </c>
      <c r="B48" s="24" t="s">
        <v>48</v>
      </c>
      <c r="C48" s="25">
        <v>37780</v>
      </c>
      <c r="D48" s="26">
        <v>26</v>
      </c>
      <c r="E48" s="25" t="s">
        <v>59</v>
      </c>
      <c r="F48" s="27"/>
      <c r="G48" s="24" t="s">
        <v>129</v>
      </c>
      <c r="H48" s="24" t="s">
        <v>134</v>
      </c>
      <c r="I48" s="28">
        <v>56.7</v>
      </c>
      <c r="J48" s="29">
        <v>28.57</v>
      </c>
      <c r="K48" s="30">
        <v>0.08263888888888889</v>
      </c>
      <c r="L48" s="31">
        <v>62</v>
      </c>
      <c r="M48" s="30">
        <v>0.08263888888888889</v>
      </c>
      <c r="N48" s="29">
        <f aca="true" t="shared" si="3" ref="N48:N57">(I48/M48)/24</f>
        <v>28.58823529411765</v>
      </c>
      <c r="O48" s="36"/>
    </row>
    <row r="49" spans="1:15" ht="12.75">
      <c r="A49" s="24" t="s">
        <v>42</v>
      </c>
      <c r="B49" s="24" t="s">
        <v>48</v>
      </c>
      <c r="C49" s="25">
        <v>37784</v>
      </c>
      <c r="D49" s="26">
        <v>30</v>
      </c>
      <c r="E49" s="25" t="s">
        <v>59</v>
      </c>
      <c r="F49" s="27"/>
      <c r="G49" s="24" t="s">
        <v>58</v>
      </c>
      <c r="H49" s="24" t="s">
        <v>22</v>
      </c>
      <c r="I49" s="28">
        <v>50</v>
      </c>
      <c r="J49" s="29">
        <v>24.86</v>
      </c>
      <c r="K49" s="30">
        <v>0.08381944444444445</v>
      </c>
      <c r="L49" s="31">
        <v>52</v>
      </c>
      <c r="M49" s="30">
        <v>0.08381944444444445</v>
      </c>
      <c r="N49" s="29">
        <f t="shared" si="3"/>
        <v>24.855012427506214</v>
      </c>
      <c r="O49" s="36"/>
    </row>
    <row r="50" spans="1:15" ht="12.75">
      <c r="A50" s="24" t="s">
        <v>42</v>
      </c>
      <c r="B50" s="24" t="s">
        <v>48</v>
      </c>
      <c r="C50" s="25">
        <v>37786</v>
      </c>
      <c r="D50" s="26">
        <v>28</v>
      </c>
      <c r="E50" s="25" t="s">
        <v>59</v>
      </c>
      <c r="F50" s="27"/>
      <c r="G50" s="24" t="s">
        <v>58</v>
      </c>
      <c r="H50" s="24" t="s">
        <v>70</v>
      </c>
      <c r="I50" s="28">
        <v>145</v>
      </c>
      <c r="J50" s="29">
        <v>23.03</v>
      </c>
      <c r="K50" s="30">
        <v>0.26306712962962964</v>
      </c>
      <c r="L50" s="31">
        <v>72</v>
      </c>
      <c r="M50" s="30">
        <v>0.29082175925925924</v>
      </c>
      <c r="N50" s="29">
        <f t="shared" si="3"/>
        <v>20.774465714172006</v>
      </c>
      <c r="O50" s="36"/>
    </row>
    <row r="51" spans="1:15" ht="12.75">
      <c r="A51" s="24" t="s">
        <v>42</v>
      </c>
      <c r="B51" s="24" t="s">
        <v>48</v>
      </c>
      <c r="C51" s="25">
        <v>37793</v>
      </c>
      <c r="D51" s="26">
        <v>15</v>
      </c>
      <c r="E51" s="25" t="s">
        <v>61</v>
      </c>
      <c r="F51" s="27"/>
      <c r="G51" s="24" t="s">
        <v>135</v>
      </c>
      <c r="H51" s="24" t="s">
        <v>79</v>
      </c>
      <c r="I51" s="28">
        <v>3</v>
      </c>
      <c r="J51" s="29"/>
      <c r="K51" s="30"/>
      <c r="L51" s="31"/>
      <c r="M51" s="30"/>
      <c r="N51" s="29"/>
      <c r="O51" s="36"/>
    </row>
    <row r="52" spans="1:15" ht="12.75">
      <c r="A52" s="24" t="s">
        <v>42</v>
      </c>
      <c r="B52" s="24" t="s">
        <v>48</v>
      </c>
      <c r="C52" s="25">
        <v>37793</v>
      </c>
      <c r="D52" s="26">
        <v>17</v>
      </c>
      <c r="E52" s="25" t="s">
        <v>61</v>
      </c>
      <c r="F52" s="27"/>
      <c r="G52" s="24" t="s">
        <v>135</v>
      </c>
      <c r="H52" s="24" t="s">
        <v>135</v>
      </c>
      <c r="I52" s="28">
        <v>202</v>
      </c>
      <c r="J52" s="29">
        <v>25.5</v>
      </c>
      <c r="K52" s="30">
        <v>0.3302662037037037</v>
      </c>
      <c r="L52" s="31">
        <v>66</v>
      </c>
      <c r="M52" s="30">
        <v>0.33594907407407404</v>
      </c>
      <c r="N52" s="29">
        <f t="shared" si="3"/>
        <v>25.053400399641703</v>
      </c>
      <c r="O52" s="36"/>
    </row>
    <row r="53" spans="1:15" ht="12.75">
      <c r="A53" s="24" t="s">
        <v>42</v>
      </c>
      <c r="B53" s="24" t="s">
        <v>48</v>
      </c>
      <c r="C53" s="25">
        <v>37800</v>
      </c>
      <c r="D53" s="26">
        <v>25</v>
      </c>
      <c r="E53" s="25" t="s">
        <v>59</v>
      </c>
      <c r="F53" s="27"/>
      <c r="G53" s="24" t="s">
        <v>58</v>
      </c>
      <c r="H53" s="24" t="s">
        <v>137</v>
      </c>
      <c r="I53" s="28">
        <v>56</v>
      </c>
      <c r="J53" s="29">
        <v>25.93</v>
      </c>
      <c r="K53" s="30">
        <v>0.08998842592592593</v>
      </c>
      <c r="L53" s="31">
        <v>62</v>
      </c>
      <c r="M53" s="30">
        <v>0.08998842592592593</v>
      </c>
      <c r="N53" s="29">
        <f t="shared" si="3"/>
        <v>25.92926045016077</v>
      </c>
      <c r="O53" s="36"/>
    </row>
    <row r="54" spans="1:15" ht="12.75">
      <c r="A54" s="24" t="s">
        <v>42</v>
      </c>
      <c r="B54" s="24" t="s">
        <v>48</v>
      </c>
      <c r="C54" s="25">
        <v>38805</v>
      </c>
      <c r="D54" s="26">
        <v>28</v>
      </c>
      <c r="E54" s="25" t="s">
        <v>59</v>
      </c>
      <c r="F54" s="27"/>
      <c r="G54" s="24" t="s">
        <v>136</v>
      </c>
      <c r="H54" s="24" t="s">
        <v>137</v>
      </c>
      <c r="I54" s="28">
        <v>16.7</v>
      </c>
      <c r="J54" s="29"/>
      <c r="K54" s="30"/>
      <c r="L54" s="31">
        <v>62</v>
      </c>
      <c r="M54" s="30"/>
      <c r="N54" s="29"/>
      <c r="O54" s="36"/>
    </row>
    <row r="55" spans="1:15" ht="12.75">
      <c r="A55" s="24" t="s">
        <v>42</v>
      </c>
      <c r="B55" s="24" t="s">
        <v>48</v>
      </c>
      <c r="C55" s="25">
        <v>38805</v>
      </c>
      <c r="D55" s="26">
        <v>28</v>
      </c>
      <c r="E55" s="25" t="s">
        <v>59</v>
      </c>
      <c r="F55" s="27"/>
      <c r="G55" s="24" t="s">
        <v>136</v>
      </c>
      <c r="H55" s="24" t="s">
        <v>137</v>
      </c>
      <c r="I55" s="28">
        <v>3.3</v>
      </c>
      <c r="J55" s="29">
        <v>17.29</v>
      </c>
      <c r="K55" s="30">
        <v>0.007945601851851851</v>
      </c>
      <c r="L55" s="31">
        <v>29</v>
      </c>
      <c r="M55" s="30">
        <v>0.007951388888888888</v>
      </c>
      <c r="N55" s="29">
        <f t="shared" si="3"/>
        <v>17.292576419213976</v>
      </c>
      <c r="O55" s="36"/>
    </row>
    <row r="56" spans="1:15" ht="12.75">
      <c r="A56" s="24" t="s">
        <v>42</v>
      </c>
      <c r="B56" s="24" t="s">
        <v>49</v>
      </c>
      <c r="C56" s="25">
        <v>37806</v>
      </c>
      <c r="D56" s="26">
        <v>18</v>
      </c>
      <c r="E56" s="25" t="s">
        <v>88</v>
      </c>
      <c r="F56" s="27"/>
      <c r="G56" s="24"/>
      <c r="H56" s="24"/>
      <c r="I56" s="28">
        <v>161.32</v>
      </c>
      <c r="J56" s="29">
        <v>23.53</v>
      </c>
      <c r="K56" s="30">
        <v>0.2857175925925926</v>
      </c>
      <c r="L56" s="31">
        <v>66</v>
      </c>
      <c r="M56" s="30">
        <v>0.2857175925925926</v>
      </c>
      <c r="N56" s="29">
        <f t="shared" si="3"/>
        <v>23.525561046747143</v>
      </c>
      <c r="O56" s="36"/>
    </row>
    <row r="57" spans="1:15" ht="12.75">
      <c r="A57" s="24" t="s">
        <v>42</v>
      </c>
      <c r="B57" s="24" t="s">
        <v>49</v>
      </c>
      <c r="C57" s="25">
        <v>37808</v>
      </c>
      <c r="D57" s="26">
        <v>20</v>
      </c>
      <c r="E57" s="25" t="s">
        <v>88</v>
      </c>
      <c r="F57" s="27"/>
      <c r="G57" s="24"/>
      <c r="H57" s="24"/>
      <c r="I57" s="28">
        <v>126.13</v>
      </c>
      <c r="J57" s="29">
        <v>24.52</v>
      </c>
      <c r="K57" s="30">
        <v>0.21434027777777778</v>
      </c>
      <c r="L57" s="31">
        <v>68</v>
      </c>
      <c r="M57" s="30">
        <v>0.21434027777777778</v>
      </c>
      <c r="N57" s="29">
        <f t="shared" si="3"/>
        <v>24.519034505102866</v>
      </c>
      <c r="O57" s="36"/>
    </row>
    <row r="58" spans="1:15" ht="12.75">
      <c r="A58" s="24" t="s">
        <v>42</v>
      </c>
      <c r="B58" s="24" t="s">
        <v>49</v>
      </c>
      <c r="C58" s="25" t="s">
        <v>138</v>
      </c>
      <c r="D58" s="26">
        <v>22</v>
      </c>
      <c r="E58" s="25" t="s">
        <v>139</v>
      </c>
      <c r="F58" s="27"/>
      <c r="G58" s="24" t="s">
        <v>140</v>
      </c>
      <c r="H58" s="24"/>
      <c r="I58" s="28">
        <v>200</v>
      </c>
      <c r="J58" s="29">
        <v>23.53</v>
      </c>
      <c r="K58" s="30">
        <v>0.3541666666666667</v>
      </c>
      <c r="L58" s="31"/>
      <c r="M58" s="30">
        <v>0.3623148148148148</v>
      </c>
      <c r="N58" s="29">
        <f>(I58/M58)/24</f>
        <v>23.000255558395093</v>
      </c>
      <c r="O58" s="36"/>
    </row>
    <row r="59" spans="1:15" ht="12.75">
      <c r="A59" s="24" t="s">
        <v>42</v>
      </c>
      <c r="B59" s="24" t="s">
        <v>49</v>
      </c>
      <c r="C59" s="25">
        <v>37820</v>
      </c>
      <c r="D59" s="26">
        <v>20</v>
      </c>
      <c r="E59" s="25" t="s">
        <v>88</v>
      </c>
      <c r="F59" s="27"/>
      <c r="G59" s="24" t="s">
        <v>141</v>
      </c>
      <c r="H59" s="24" t="s">
        <v>22</v>
      </c>
      <c r="I59" s="28">
        <v>34</v>
      </c>
      <c r="J59" s="29">
        <v>25.12</v>
      </c>
      <c r="K59" s="30">
        <v>0.056388888888888884</v>
      </c>
      <c r="L59" s="31">
        <v>55</v>
      </c>
      <c r="M59" s="30">
        <v>0.056388888888888884</v>
      </c>
      <c r="N59" s="29">
        <f>(I59/M59)/24</f>
        <v>25.123152709359605</v>
      </c>
      <c r="O59" s="36"/>
    </row>
    <row r="60" spans="1:15" ht="12.75">
      <c r="A60" s="24" t="s">
        <v>42</v>
      </c>
      <c r="B60" s="24" t="s">
        <v>49</v>
      </c>
      <c r="C60" s="25">
        <v>37821</v>
      </c>
      <c r="D60" s="26">
        <v>25</v>
      </c>
      <c r="E60" s="25" t="s">
        <v>59</v>
      </c>
      <c r="F60" s="27"/>
      <c r="G60" s="24" t="s">
        <v>142</v>
      </c>
      <c r="H60" s="24" t="s">
        <v>142</v>
      </c>
      <c r="I60" s="28">
        <v>62</v>
      </c>
      <c r="J60" s="29">
        <v>34.04</v>
      </c>
      <c r="K60" s="30">
        <v>0.07589120370370371</v>
      </c>
      <c r="L60" s="31">
        <v>56</v>
      </c>
      <c r="M60" s="30">
        <v>0.07589120370370371</v>
      </c>
      <c r="N60" s="29">
        <f>(I60/M60)/24</f>
        <v>34.0399572975446</v>
      </c>
      <c r="O60" s="36"/>
    </row>
    <row r="61" spans="1:14" ht="12.75">
      <c r="A61" s="24" t="s">
        <v>42</v>
      </c>
      <c r="B61" s="24" t="s">
        <v>49</v>
      </c>
      <c r="C61" s="25" t="s">
        <v>143</v>
      </c>
      <c r="D61" s="26">
        <v>25</v>
      </c>
      <c r="E61" s="25"/>
      <c r="F61" s="27"/>
      <c r="G61" s="24"/>
      <c r="H61" s="24"/>
      <c r="I61" s="28">
        <v>121</v>
      </c>
      <c r="J61" s="29"/>
      <c r="K61" s="30"/>
      <c r="L61" s="31"/>
      <c r="M61" s="30"/>
      <c r="N61" s="29"/>
    </row>
    <row r="62" spans="1:14" ht="12.75">
      <c r="A62" s="89" t="s">
        <v>42</v>
      </c>
      <c r="B62" s="24" t="s">
        <v>49</v>
      </c>
      <c r="C62" s="25">
        <v>37828</v>
      </c>
      <c r="D62" s="26">
        <v>25</v>
      </c>
      <c r="E62" s="25" t="s">
        <v>59</v>
      </c>
      <c r="F62" s="27"/>
      <c r="G62" s="24" t="s">
        <v>78</v>
      </c>
      <c r="H62" s="24" t="s">
        <v>145</v>
      </c>
      <c r="I62" s="28">
        <v>180.36</v>
      </c>
      <c r="J62" s="29">
        <v>23.9</v>
      </c>
      <c r="K62" s="30">
        <v>0.31449074074074074</v>
      </c>
      <c r="L62" s="31">
        <v>74</v>
      </c>
      <c r="M62" s="30">
        <v>0.31449074074074074</v>
      </c>
      <c r="N62" s="29">
        <f>(I62/M62)/24</f>
        <v>23.895775062564407</v>
      </c>
    </row>
    <row r="63" spans="1:14" ht="12.75">
      <c r="A63" s="24" t="s">
        <v>42</v>
      </c>
      <c r="B63" s="24" t="s">
        <v>49</v>
      </c>
      <c r="C63" s="25">
        <v>37833</v>
      </c>
      <c r="D63" s="26">
        <v>25</v>
      </c>
      <c r="E63" s="25" t="s">
        <v>59</v>
      </c>
      <c r="F63" s="27"/>
      <c r="G63" s="24" t="s">
        <v>144</v>
      </c>
      <c r="H63" s="24" t="s">
        <v>146</v>
      </c>
      <c r="I63" s="28">
        <v>142.3</v>
      </c>
      <c r="J63" s="29">
        <v>21.01</v>
      </c>
      <c r="K63" s="30">
        <v>0.2822222222222222</v>
      </c>
      <c r="L63" s="31">
        <v>68</v>
      </c>
      <c r="M63" s="30">
        <v>0.2821875</v>
      </c>
      <c r="N63" s="29">
        <f aca="true" t="shared" si="4" ref="N63:N77">(I63/M63)/24</f>
        <v>21.011443337024733</v>
      </c>
    </row>
    <row r="64" spans="1:14" ht="12.75">
      <c r="A64" s="24" t="s">
        <v>42</v>
      </c>
      <c r="B64" s="24" t="s">
        <v>50</v>
      </c>
      <c r="C64" s="25">
        <v>37836</v>
      </c>
      <c r="D64" s="26">
        <v>32</v>
      </c>
      <c r="E64" s="25" t="s">
        <v>59</v>
      </c>
      <c r="F64" s="27"/>
      <c r="G64" s="24" t="s">
        <v>144</v>
      </c>
      <c r="H64" s="24" t="s">
        <v>70</v>
      </c>
      <c r="I64" s="28">
        <v>192.88</v>
      </c>
      <c r="J64" s="29">
        <v>21.5</v>
      </c>
      <c r="K64" s="30">
        <v>0.3738078703703704</v>
      </c>
      <c r="L64" s="31">
        <v>68</v>
      </c>
      <c r="M64" s="30">
        <v>0.3738078703703704</v>
      </c>
      <c r="N64" s="29">
        <f t="shared" si="4"/>
        <v>21.49945815400811</v>
      </c>
    </row>
    <row r="65" spans="1:14" ht="12.75">
      <c r="A65" s="24" t="s">
        <v>42</v>
      </c>
      <c r="B65" s="24" t="s">
        <v>50</v>
      </c>
      <c r="C65" s="25">
        <v>37839</v>
      </c>
      <c r="D65" s="26">
        <v>32</v>
      </c>
      <c r="E65" s="25" t="s">
        <v>59</v>
      </c>
      <c r="F65" s="27"/>
      <c r="G65" s="24"/>
      <c r="H65" s="24"/>
      <c r="I65" s="28">
        <v>76.02</v>
      </c>
      <c r="J65" s="29">
        <v>23.32</v>
      </c>
      <c r="K65" s="30">
        <v>0.13585648148148147</v>
      </c>
      <c r="L65" s="31">
        <v>73</v>
      </c>
      <c r="M65" s="30">
        <v>0.13585648148148147</v>
      </c>
      <c r="N65" s="29">
        <f t="shared" si="4"/>
        <v>23.315045152496168</v>
      </c>
    </row>
    <row r="66" spans="1:14" ht="12.75">
      <c r="A66" s="24" t="s">
        <v>42</v>
      </c>
      <c r="B66" s="24" t="s">
        <v>50</v>
      </c>
      <c r="C66" s="25">
        <v>37842</v>
      </c>
      <c r="D66" s="26">
        <v>30</v>
      </c>
      <c r="E66" s="25" t="s">
        <v>59</v>
      </c>
      <c r="F66" s="27"/>
      <c r="G66" s="24" t="s">
        <v>147</v>
      </c>
      <c r="H66" s="24" t="s">
        <v>148</v>
      </c>
      <c r="I66" s="28">
        <v>237.06</v>
      </c>
      <c r="J66" s="29">
        <v>24.7</v>
      </c>
      <c r="K66" s="30">
        <v>0.399849537037037</v>
      </c>
      <c r="L66" s="31">
        <v>81</v>
      </c>
      <c r="M66" s="30">
        <v>0.4090740740740741</v>
      </c>
      <c r="N66" s="29">
        <f t="shared" si="4"/>
        <v>24.145993662290632</v>
      </c>
    </row>
    <row r="67" spans="1:14" ht="12.75">
      <c r="A67" s="24" t="s">
        <v>42</v>
      </c>
      <c r="B67" s="24" t="s">
        <v>50</v>
      </c>
      <c r="C67" s="25">
        <v>37849</v>
      </c>
      <c r="D67" s="26">
        <v>23</v>
      </c>
      <c r="E67" s="25" t="s">
        <v>88</v>
      </c>
      <c r="F67" s="27"/>
      <c r="G67" s="24" t="s">
        <v>78</v>
      </c>
      <c r="H67" s="24" t="s">
        <v>149</v>
      </c>
      <c r="I67" s="28">
        <v>181.34</v>
      </c>
      <c r="J67" s="29">
        <v>20.55</v>
      </c>
      <c r="K67" s="30">
        <v>0.36761574074074077</v>
      </c>
      <c r="L67" s="31">
        <v>70</v>
      </c>
      <c r="M67" s="30">
        <v>0.36761574074074077</v>
      </c>
      <c r="N67" s="29">
        <f t="shared" si="4"/>
        <v>20.553617530382216</v>
      </c>
    </row>
    <row r="68" spans="1:14" ht="12.75">
      <c r="A68" s="24" t="s">
        <v>42</v>
      </c>
      <c r="B68" s="24" t="s">
        <v>50</v>
      </c>
      <c r="C68" s="25">
        <v>37853</v>
      </c>
      <c r="D68" s="26">
        <v>24</v>
      </c>
      <c r="E68" s="25" t="s">
        <v>88</v>
      </c>
      <c r="F68" s="27"/>
      <c r="G68" s="24"/>
      <c r="H68" s="24"/>
      <c r="I68" s="28">
        <v>107.49</v>
      </c>
      <c r="J68" s="29">
        <v>23.52</v>
      </c>
      <c r="K68" s="30">
        <v>0.19046296296296297</v>
      </c>
      <c r="L68" s="31">
        <v>61</v>
      </c>
      <c r="M68" s="30">
        <v>0.19046296296296297</v>
      </c>
      <c r="N68" s="29">
        <f t="shared" si="4"/>
        <v>23.515070491006316</v>
      </c>
    </row>
    <row r="69" spans="1:14" ht="12.75">
      <c r="A69" s="24" t="s">
        <v>42</v>
      </c>
      <c r="B69" s="24" t="s">
        <v>50</v>
      </c>
      <c r="C69" s="25">
        <v>37855</v>
      </c>
      <c r="D69" s="26">
        <v>24</v>
      </c>
      <c r="E69" s="25" t="s">
        <v>88</v>
      </c>
      <c r="F69" s="27"/>
      <c r="G69" s="24" t="s">
        <v>29</v>
      </c>
      <c r="H69" s="24" t="s">
        <v>27</v>
      </c>
      <c r="I69" s="28">
        <v>211</v>
      </c>
      <c r="J69" s="29">
        <v>20.74</v>
      </c>
      <c r="K69" s="30">
        <v>0.4239351851851852</v>
      </c>
      <c r="L69" s="31">
        <v>80</v>
      </c>
      <c r="M69" s="30">
        <v>0.4239351851851852</v>
      </c>
      <c r="N69" s="29">
        <f t="shared" si="4"/>
        <v>20.738233045757344</v>
      </c>
    </row>
    <row r="70" spans="1:14" ht="12.75">
      <c r="A70" s="24" t="s">
        <v>42</v>
      </c>
      <c r="B70" s="24" t="s">
        <v>50</v>
      </c>
      <c r="C70" s="25">
        <v>37860</v>
      </c>
      <c r="D70" s="26">
        <v>22</v>
      </c>
      <c r="E70" s="25" t="s">
        <v>88</v>
      </c>
      <c r="F70" s="27"/>
      <c r="G70" s="24" t="s">
        <v>150</v>
      </c>
      <c r="H70" s="24" t="s">
        <v>151</v>
      </c>
      <c r="I70" s="28">
        <v>163.2</v>
      </c>
      <c r="J70" s="29">
        <v>20.17</v>
      </c>
      <c r="K70" s="30">
        <v>0.33719907407407407</v>
      </c>
      <c r="L70" s="31">
        <v>69</v>
      </c>
      <c r="M70" s="30">
        <v>0.33719907407407407</v>
      </c>
      <c r="N70" s="29">
        <f t="shared" si="4"/>
        <v>20.166128921534973</v>
      </c>
    </row>
    <row r="71" spans="1:19" ht="12.75">
      <c r="A71" s="24" t="s">
        <v>42</v>
      </c>
      <c r="B71" s="24" t="s">
        <v>50</v>
      </c>
      <c r="C71" s="25">
        <v>37863</v>
      </c>
      <c r="D71" s="26">
        <v>18</v>
      </c>
      <c r="E71" s="25" t="s">
        <v>88</v>
      </c>
      <c r="F71" s="27"/>
      <c r="G71" s="24" t="s">
        <v>78</v>
      </c>
      <c r="H71" s="24" t="s">
        <v>145</v>
      </c>
      <c r="I71" s="28">
        <v>178.09</v>
      </c>
      <c r="J71" s="29">
        <v>23.7</v>
      </c>
      <c r="K71" s="30">
        <v>0.3130787037037037</v>
      </c>
      <c r="L71" s="31">
        <v>70</v>
      </c>
      <c r="M71" s="30">
        <v>0.3638888888888889</v>
      </c>
      <c r="N71" s="29">
        <f t="shared" si="4"/>
        <v>20.39198473282443</v>
      </c>
      <c r="P71" s="91" t="s">
        <v>63</v>
      </c>
      <c r="Q71" s="91"/>
      <c r="R71" s="1"/>
      <c r="S71" s="1"/>
    </row>
    <row r="72" spans="1:17" ht="12.75">
      <c r="A72" s="24" t="s">
        <v>42</v>
      </c>
      <c r="B72" s="24" t="s">
        <v>50</v>
      </c>
      <c r="C72" s="25">
        <v>37864</v>
      </c>
      <c r="D72" s="26">
        <v>15</v>
      </c>
      <c r="E72" s="25" t="s">
        <v>61</v>
      </c>
      <c r="F72" s="27"/>
      <c r="G72" s="24" t="s">
        <v>78</v>
      </c>
      <c r="H72" s="24" t="s">
        <v>152</v>
      </c>
      <c r="I72" s="28">
        <v>132.1</v>
      </c>
      <c r="J72" s="29">
        <v>21.3</v>
      </c>
      <c r="K72" s="30">
        <v>0.2583796296296296</v>
      </c>
      <c r="L72" s="31">
        <v>64</v>
      </c>
      <c r="M72" s="30">
        <v>0.2722222222222222</v>
      </c>
      <c r="N72" s="29">
        <f t="shared" si="4"/>
        <v>20.21938775510204</v>
      </c>
      <c r="P72" s="2" t="s">
        <v>13</v>
      </c>
      <c r="Q72" s="17">
        <f>SUM(I:I)</f>
        <v>8001.700000000003</v>
      </c>
    </row>
    <row r="73" spans="1:17" ht="12.75">
      <c r="A73" s="24" t="s">
        <v>42</v>
      </c>
      <c r="B73" s="24" t="s">
        <v>51</v>
      </c>
      <c r="C73" s="25">
        <v>37866</v>
      </c>
      <c r="D73" s="26">
        <v>12</v>
      </c>
      <c r="E73" s="25" t="s">
        <v>61</v>
      </c>
      <c r="F73" s="27"/>
      <c r="G73" s="24"/>
      <c r="H73" s="24"/>
      <c r="I73" s="28">
        <v>77.5</v>
      </c>
      <c r="J73" s="29">
        <v>21.57</v>
      </c>
      <c r="K73" s="30">
        <v>0.1430671296296296</v>
      </c>
      <c r="L73" s="31">
        <v>66</v>
      </c>
      <c r="M73" s="30">
        <v>0.1430671296296296</v>
      </c>
      <c r="N73" s="29">
        <f t="shared" si="4"/>
        <v>22.570989402151934</v>
      </c>
      <c r="P73" s="37" t="s">
        <v>42</v>
      </c>
      <c r="Q73" s="17">
        <f>SUMIF(A:A,"silnice",I:I)</f>
        <v>7468.000000000003</v>
      </c>
    </row>
    <row r="74" spans="1:17" ht="12.75">
      <c r="A74" s="24" t="s">
        <v>42</v>
      </c>
      <c r="B74" s="24" t="s">
        <v>51</v>
      </c>
      <c r="C74" s="25">
        <v>37870</v>
      </c>
      <c r="D74" s="26">
        <v>22</v>
      </c>
      <c r="E74" s="25" t="s">
        <v>59</v>
      </c>
      <c r="F74" s="27"/>
      <c r="G74" s="24" t="s">
        <v>153</v>
      </c>
      <c r="H74" s="24" t="s">
        <v>29</v>
      </c>
      <c r="I74" s="28">
        <v>254.17</v>
      </c>
      <c r="J74" s="29">
        <v>21.54</v>
      </c>
      <c r="K74" s="30">
        <v>0.4917708333333333</v>
      </c>
      <c r="L74" s="31">
        <v>74</v>
      </c>
      <c r="M74" s="30">
        <v>0.510636574074074</v>
      </c>
      <c r="N74" s="29">
        <f t="shared" si="4"/>
        <v>20.739635984496477</v>
      </c>
      <c r="P74" s="37" t="s">
        <v>164</v>
      </c>
      <c r="Q74" s="17">
        <f>SUMIF(A:A,"válce",I:I)</f>
        <v>333.7</v>
      </c>
    </row>
    <row r="75" spans="1:17" ht="12.75">
      <c r="A75" s="24" t="s">
        <v>42</v>
      </c>
      <c r="B75" s="24" t="s">
        <v>51</v>
      </c>
      <c r="C75" s="25">
        <v>37870</v>
      </c>
      <c r="D75" s="26">
        <v>22</v>
      </c>
      <c r="E75" s="25" t="s">
        <v>59</v>
      </c>
      <c r="F75" s="27"/>
      <c r="G75" s="24" t="s">
        <v>29</v>
      </c>
      <c r="H75" s="24" t="s">
        <v>29</v>
      </c>
      <c r="I75" s="28">
        <v>1.34</v>
      </c>
      <c r="J75" s="29"/>
      <c r="K75" s="30"/>
      <c r="L75" s="31"/>
      <c r="M75" s="30"/>
      <c r="N75" s="29"/>
      <c r="P75" s="37" t="s">
        <v>56</v>
      </c>
      <c r="Q75" s="17">
        <f>SUMIF(A:A,"trenažér",I:I)</f>
        <v>200</v>
      </c>
    </row>
    <row r="76" spans="1:17" ht="12.75">
      <c r="A76" s="24" t="s">
        <v>42</v>
      </c>
      <c r="B76" s="24" t="s">
        <v>51</v>
      </c>
      <c r="C76" s="25">
        <v>37876</v>
      </c>
      <c r="D76" s="26">
        <v>14</v>
      </c>
      <c r="E76" s="25" t="s">
        <v>66</v>
      </c>
      <c r="F76" s="27"/>
      <c r="G76" s="24" t="s">
        <v>154</v>
      </c>
      <c r="H76" s="24" t="s">
        <v>58</v>
      </c>
      <c r="I76" s="28">
        <v>108.8</v>
      </c>
      <c r="J76" s="29">
        <v>24.48</v>
      </c>
      <c r="K76" s="30">
        <v>0.18515046296296298</v>
      </c>
      <c r="L76" s="31">
        <v>58</v>
      </c>
      <c r="M76" s="30">
        <v>0.18515046296296298</v>
      </c>
      <c r="N76" s="29">
        <f t="shared" si="4"/>
        <v>24.484590860786398</v>
      </c>
      <c r="P76" s="2" t="s">
        <v>37</v>
      </c>
      <c r="Q76" s="14">
        <f>AVERAGE(J:J)</f>
        <v>23.782400000000003</v>
      </c>
    </row>
    <row r="77" spans="1:17" ht="12.75">
      <c r="A77" s="24" t="s">
        <v>42</v>
      </c>
      <c r="B77" s="24" t="s">
        <v>51</v>
      </c>
      <c r="C77" s="25">
        <v>37877</v>
      </c>
      <c r="D77" s="26">
        <v>14</v>
      </c>
      <c r="E77" s="25" t="s">
        <v>155</v>
      </c>
      <c r="F77" s="27"/>
      <c r="G77" s="24" t="s">
        <v>156</v>
      </c>
      <c r="H77" s="24" t="s">
        <v>156</v>
      </c>
      <c r="I77" s="28">
        <v>5.5</v>
      </c>
      <c r="J77" s="29">
        <v>15.57</v>
      </c>
      <c r="K77" s="30">
        <v>0.014722222222222222</v>
      </c>
      <c r="L77" s="31">
        <v>57</v>
      </c>
      <c r="M77" s="30">
        <v>0.014722222222222222</v>
      </c>
      <c r="N77" s="29">
        <f t="shared" si="4"/>
        <v>15.566037735849058</v>
      </c>
      <c r="P77" s="37" t="s">
        <v>42</v>
      </c>
      <c r="Q77" s="14">
        <f>(SUMIF(A:A,"silnice",J:J))/COUNTIF(A:A,"silnice")</f>
        <v>20.78571428571428</v>
      </c>
    </row>
    <row r="78" spans="1:17" ht="12.75">
      <c r="A78" s="24" t="s">
        <v>42</v>
      </c>
      <c r="B78" s="24" t="s">
        <v>51</v>
      </c>
      <c r="C78" s="25">
        <v>37877</v>
      </c>
      <c r="D78" s="26">
        <v>14</v>
      </c>
      <c r="E78" s="25" t="s">
        <v>155</v>
      </c>
      <c r="F78" s="27"/>
      <c r="G78" s="24" t="s">
        <v>156</v>
      </c>
      <c r="H78" s="24" t="s">
        <v>156</v>
      </c>
      <c r="I78" s="28">
        <v>7.4</v>
      </c>
      <c r="J78" s="29"/>
      <c r="K78" s="30"/>
      <c r="L78" s="31"/>
      <c r="M78" s="30"/>
      <c r="N78" s="29"/>
      <c r="P78" s="37" t="s">
        <v>164</v>
      </c>
      <c r="Q78" s="14">
        <f>(SUMIF(A:A,"válce",J:J))/COUNTIF(A:A,"válce")</f>
        <v>31.86</v>
      </c>
    </row>
    <row r="79" spans="1:19" ht="12.75">
      <c r="A79" s="24" t="s">
        <v>42</v>
      </c>
      <c r="B79" s="24" t="s">
        <v>51</v>
      </c>
      <c r="C79" s="25">
        <v>37882</v>
      </c>
      <c r="D79" s="26">
        <v>24</v>
      </c>
      <c r="E79" s="25" t="s">
        <v>59</v>
      </c>
      <c r="F79" s="27"/>
      <c r="G79" s="24" t="s">
        <v>154</v>
      </c>
      <c r="H79" s="24" t="s">
        <v>58</v>
      </c>
      <c r="I79" s="28">
        <v>77.8</v>
      </c>
      <c r="J79" s="29">
        <v>24.42</v>
      </c>
      <c r="K79" s="30">
        <v>0.1327662037037037</v>
      </c>
      <c r="L79" s="31">
        <v>64</v>
      </c>
      <c r="M79" s="30">
        <v>0.1327662037037037</v>
      </c>
      <c r="N79" s="29">
        <f aca="true" t="shared" si="5" ref="N79:N86">(I79/M79)/24</f>
        <v>24.416354284717983</v>
      </c>
      <c r="P79" s="37" t="s">
        <v>56</v>
      </c>
      <c r="Q79" s="14">
        <f>(SUMIF(A:A,"trenažér",J:J))/COUNTIF(A:A,"trenažér")</f>
        <v>20</v>
      </c>
      <c r="R79" s="5"/>
      <c r="S79" s="5"/>
    </row>
    <row r="80" spans="1:19" ht="12.75">
      <c r="A80" s="35" t="s">
        <v>42</v>
      </c>
      <c r="B80" s="24" t="s">
        <v>51</v>
      </c>
      <c r="C80" s="25">
        <v>37885</v>
      </c>
      <c r="D80" s="26">
        <v>28</v>
      </c>
      <c r="E80" s="25" t="s">
        <v>59</v>
      </c>
      <c r="F80" s="27"/>
      <c r="G80" s="24" t="s">
        <v>75</v>
      </c>
      <c r="H80" s="24" t="s">
        <v>157</v>
      </c>
      <c r="I80" s="28">
        <v>13</v>
      </c>
      <c r="J80" s="29"/>
      <c r="K80" s="30"/>
      <c r="L80" s="31"/>
      <c r="M80" s="30"/>
      <c r="N80" s="29"/>
      <c r="P80" s="2" t="s">
        <v>4</v>
      </c>
      <c r="Q80" s="18">
        <f>SUM(K:K)</f>
        <v>14.002478819444447</v>
      </c>
      <c r="R80" s="5"/>
      <c r="S80" s="5"/>
    </row>
    <row r="81" spans="1:19" ht="12.75">
      <c r="A81" s="24" t="s">
        <v>42</v>
      </c>
      <c r="B81" s="24" t="s">
        <v>51</v>
      </c>
      <c r="C81" s="25">
        <v>37885</v>
      </c>
      <c r="D81" s="26">
        <v>28</v>
      </c>
      <c r="E81" s="25" t="s">
        <v>59</v>
      </c>
      <c r="F81" s="27"/>
      <c r="G81" s="24" t="s">
        <v>75</v>
      </c>
      <c r="H81" s="24" t="s">
        <v>157</v>
      </c>
      <c r="I81" s="28">
        <v>74.4</v>
      </c>
      <c r="J81" s="29">
        <v>26.67</v>
      </c>
      <c r="K81" s="30">
        <v>0.11623842592592593</v>
      </c>
      <c r="L81" s="31">
        <v>70</v>
      </c>
      <c r="M81" s="30">
        <v>0.11623842592592593</v>
      </c>
      <c r="N81" s="29">
        <f t="shared" si="5"/>
        <v>26.669321915762225</v>
      </c>
      <c r="P81" s="37" t="s">
        <v>42</v>
      </c>
      <c r="Q81" s="18">
        <f>SUMIF(A:A,"silnice",K:K)</f>
        <v>13.153751967592598</v>
      </c>
      <c r="R81" s="5"/>
      <c r="S81" s="5"/>
    </row>
    <row r="82" spans="1:19" ht="12.75">
      <c r="A82" s="24" t="s">
        <v>42</v>
      </c>
      <c r="B82" s="24" t="s">
        <v>51</v>
      </c>
      <c r="C82" s="25">
        <v>37887</v>
      </c>
      <c r="D82" s="26">
        <v>15</v>
      </c>
      <c r="E82" s="25" t="s">
        <v>66</v>
      </c>
      <c r="F82" s="27"/>
      <c r="G82" s="24" t="s">
        <v>154</v>
      </c>
      <c r="H82" s="24" t="s">
        <v>58</v>
      </c>
      <c r="I82" s="28">
        <v>110.22</v>
      </c>
      <c r="J82" s="29">
        <v>23.31</v>
      </c>
      <c r="K82" s="30">
        <v>0.19699074074074074</v>
      </c>
      <c r="L82" s="31">
        <v>71</v>
      </c>
      <c r="M82" s="30">
        <v>0.21053240740740742</v>
      </c>
      <c r="N82" s="29">
        <f t="shared" si="5"/>
        <v>21.81374381528312</v>
      </c>
      <c r="P82" s="37" t="s">
        <v>164</v>
      </c>
      <c r="Q82" s="18">
        <f>SUMIF(A:A,"válce",K:K)</f>
        <v>0.4320601851851852</v>
      </c>
      <c r="R82" s="5"/>
      <c r="S82" s="5"/>
    </row>
    <row r="83" spans="1:19" ht="12.75">
      <c r="A83" s="24" t="s">
        <v>42</v>
      </c>
      <c r="B83" s="24" t="s">
        <v>51</v>
      </c>
      <c r="C83" s="25">
        <v>37890</v>
      </c>
      <c r="D83" s="26">
        <v>19</v>
      </c>
      <c r="E83" s="25" t="s">
        <v>66</v>
      </c>
      <c r="F83" s="27"/>
      <c r="G83" s="24" t="s">
        <v>58</v>
      </c>
      <c r="H83" s="24" t="s">
        <v>158</v>
      </c>
      <c r="I83" s="28">
        <v>94.3</v>
      </c>
      <c r="J83" s="29">
        <v>23.6</v>
      </c>
      <c r="K83" s="30">
        <v>0.1665046296296296</v>
      </c>
      <c r="L83" s="31">
        <v>62</v>
      </c>
      <c r="M83" s="30">
        <v>0.17997685185185186</v>
      </c>
      <c r="N83" s="29">
        <f t="shared" si="5"/>
        <v>21.83151125401929</v>
      </c>
      <c r="P83" s="37" t="s">
        <v>56</v>
      </c>
      <c r="Q83" s="18">
        <f>SUMIF(A:A,"trenažér",K:K)</f>
        <v>0.4166666666666667</v>
      </c>
      <c r="R83" s="5"/>
      <c r="S83" s="5"/>
    </row>
    <row r="84" spans="1:19" ht="12.75">
      <c r="A84" s="24" t="s">
        <v>42</v>
      </c>
      <c r="B84" s="24" t="s">
        <v>51</v>
      </c>
      <c r="C84" s="25">
        <v>37892</v>
      </c>
      <c r="D84" s="26">
        <v>20</v>
      </c>
      <c r="E84" s="25" t="s">
        <v>59</v>
      </c>
      <c r="F84" s="27"/>
      <c r="G84" s="24" t="s">
        <v>159</v>
      </c>
      <c r="H84" s="24" t="s">
        <v>160</v>
      </c>
      <c r="I84" s="28">
        <v>12.5</v>
      </c>
      <c r="J84" s="29"/>
      <c r="K84" s="30"/>
      <c r="L84" s="31">
        <v>56</v>
      </c>
      <c r="M84" s="30"/>
      <c r="N84" s="29"/>
      <c r="P84" s="2" t="s">
        <v>5</v>
      </c>
      <c r="Q84" s="19">
        <f>MAX(L:L)</f>
        <v>81</v>
      </c>
      <c r="R84" s="5"/>
      <c r="S84" s="5"/>
    </row>
    <row r="85" spans="1:19" ht="12.75">
      <c r="A85" s="24" t="s">
        <v>42</v>
      </c>
      <c r="B85" s="24" t="s">
        <v>51</v>
      </c>
      <c r="C85" s="25">
        <v>37892</v>
      </c>
      <c r="D85" s="26">
        <v>20</v>
      </c>
      <c r="E85" s="25" t="s">
        <v>59</v>
      </c>
      <c r="F85" s="27"/>
      <c r="G85" s="24" t="s">
        <v>159</v>
      </c>
      <c r="H85" s="24" t="s">
        <v>159</v>
      </c>
      <c r="I85" s="28">
        <v>2.5</v>
      </c>
      <c r="J85" s="29">
        <v>13.37</v>
      </c>
      <c r="K85" s="30">
        <v>0.007789351851851852</v>
      </c>
      <c r="L85" s="31"/>
      <c r="M85" s="30">
        <v>0.007789351851851852</v>
      </c>
      <c r="N85" s="29">
        <f t="shared" si="5"/>
        <v>13.37295690936107</v>
      </c>
      <c r="P85" s="2" t="s">
        <v>14</v>
      </c>
      <c r="Q85" s="16">
        <f>AVERAGE(D:D)</f>
        <v>16.815</v>
      </c>
      <c r="R85" s="5"/>
      <c r="S85" s="5"/>
    </row>
    <row r="86" spans="1:19" ht="12.75">
      <c r="A86" s="24" t="s">
        <v>42</v>
      </c>
      <c r="B86" s="24" t="s">
        <v>52</v>
      </c>
      <c r="C86" s="25">
        <v>37908</v>
      </c>
      <c r="D86" s="26">
        <v>9</v>
      </c>
      <c r="E86" s="25" t="s">
        <v>88</v>
      </c>
      <c r="F86" s="27"/>
      <c r="G86" s="24" t="s">
        <v>58</v>
      </c>
      <c r="H86" s="24" t="s">
        <v>73</v>
      </c>
      <c r="I86" s="28">
        <v>39.28</v>
      </c>
      <c r="J86" s="29">
        <v>24</v>
      </c>
      <c r="K86" s="30">
        <v>0.06833333333333334</v>
      </c>
      <c r="L86" s="31">
        <v>58</v>
      </c>
      <c r="M86" s="30">
        <v>0.06819444444444445</v>
      </c>
      <c r="N86" s="29">
        <f t="shared" si="5"/>
        <v>24</v>
      </c>
      <c r="P86" s="37" t="s">
        <v>42</v>
      </c>
      <c r="Q86" s="16">
        <f>(SUMIF(A:A,"silnice",D:D))/COUNTIF(A:A,"silnice")</f>
        <v>16.521978021978022</v>
      </c>
      <c r="R86" s="5"/>
      <c r="S86" s="5"/>
    </row>
    <row r="87" spans="1:19" ht="12.75">
      <c r="A87" s="24" t="s">
        <v>42</v>
      </c>
      <c r="B87" s="24" t="s">
        <v>52</v>
      </c>
      <c r="C87" s="25">
        <v>37910</v>
      </c>
      <c r="D87" s="26">
        <v>8</v>
      </c>
      <c r="E87" s="25" t="s">
        <v>59</v>
      </c>
      <c r="F87" s="27"/>
      <c r="G87" s="24" t="s">
        <v>58</v>
      </c>
      <c r="H87" s="24" t="s">
        <v>21</v>
      </c>
      <c r="I87" s="28">
        <v>82.7</v>
      </c>
      <c r="J87" s="29">
        <v>22.85</v>
      </c>
      <c r="K87" s="30">
        <v>0.15081018518518519</v>
      </c>
      <c r="L87" s="31">
        <v>63</v>
      </c>
      <c r="M87" s="30">
        <v>0.16319444444444445</v>
      </c>
      <c r="N87" s="29">
        <f aca="true" t="shared" si="6" ref="N87:N107">(I87/M87)/24</f>
        <v>21.114893617021277</v>
      </c>
      <c r="P87" s="37" t="s">
        <v>164</v>
      </c>
      <c r="Q87" s="16">
        <f>(SUMIF(A:A,"válce",D:D))/COUNTIF(A:A,"válce")</f>
        <v>19.77777777777778</v>
      </c>
      <c r="R87" s="5"/>
      <c r="S87" s="5"/>
    </row>
    <row r="88" spans="1:19" ht="12.75">
      <c r="A88" s="24" t="s">
        <v>42</v>
      </c>
      <c r="B88" s="24" t="s">
        <v>52</v>
      </c>
      <c r="C88" s="25">
        <v>37911</v>
      </c>
      <c r="D88" s="26">
        <v>9</v>
      </c>
      <c r="E88" s="25" t="s">
        <v>88</v>
      </c>
      <c r="F88" s="27"/>
      <c r="G88" s="24" t="s">
        <v>58</v>
      </c>
      <c r="H88" s="24" t="s">
        <v>21</v>
      </c>
      <c r="I88" s="28">
        <v>83</v>
      </c>
      <c r="J88" s="29">
        <v>22.1</v>
      </c>
      <c r="K88" s="30">
        <v>0.15648148148148147</v>
      </c>
      <c r="L88" s="31">
        <v>69</v>
      </c>
      <c r="M88" s="30">
        <v>0.15648148148148147</v>
      </c>
      <c r="N88" s="29">
        <f t="shared" si="6"/>
        <v>22.100591715976332</v>
      </c>
      <c r="P88" s="2" t="s">
        <v>30</v>
      </c>
      <c r="Q88" s="18">
        <f>SUM(M:M)</f>
        <v>14.676975347222218</v>
      </c>
      <c r="R88" s="5"/>
      <c r="S88" s="5"/>
    </row>
    <row r="89" spans="1:19" ht="12.75">
      <c r="A89" s="24" t="s">
        <v>42</v>
      </c>
      <c r="B89" s="24" t="s">
        <v>52</v>
      </c>
      <c r="C89" s="25">
        <v>37912</v>
      </c>
      <c r="D89" s="26">
        <v>9</v>
      </c>
      <c r="E89" s="25" t="s">
        <v>59</v>
      </c>
      <c r="F89" s="27"/>
      <c r="G89" s="24" t="s">
        <v>161</v>
      </c>
      <c r="H89" s="24" t="s">
        <v>41</v>
      </c>
      <c r="I89" s="28">
        <v>8.6</v>
      </c>
      <c r="J89" s="29"/>
      <c r="K89" s="30"/>
      <c r="L89" s="31"/>
      <c r="M89" s="30"/>
      <c r="N89" s="29"/>
      <c r="P89" s="37" t="s">
        <v>42</v>
      </c>
      <c r="Q89" s="18">
        <f>SUMIF(A:A,"silnice",M:M)</f>
        <v>13.828248495370369</v>
      </c>
      <c r="R89" s="5"/>
      <c r="S89" s="5"/>
    </row>
    <row r="90" spans="1:19" ht="12.75">
      <c r="A90" s="24" t="s">
        <v>42</v>
      </c>
      <c r="B90" s="24" t="s">
        <v>52</v>
      </c>
      <c r="C90" s="25">
        <v>37912</v>
      </c>
      <c r="D90" s="26">
        <v>9</v>
      </c>
      <c r="E90" s="25" t="s">
        <v>59</v>
      </c>
      <c r="F90" s="27"/>
      <c r="G90" s="24" t="s">
        <v>159</v>
      </c>
      <c r="H90" s="24" t="s">
        <v>159</v>
      </c>
      <c r="I90" s="28">
        <v>4.3</v>
      </c>
      <c r="J90" s="29">
        <v>20.24</v>
      </c>
      <c r="K90" s="30">
        <v>0.008850347222222223</v>
      </c>
      <c r="L90" s="31">
        <v>42</v>
      </c>
      <c r="M90" s="30">
        <v>0.008850347222222223</v>
      </c>
      <c r="N90" s="29">
        <f t="shared" si="6"/>
        <v>20.244026835105338</v>
      </c>
      <c r="P90" s="37" t="s">
        <v>164</v>
      </c>
      <c r="Q90" s="18">
        <f>SUMIF(A:A,"válce",M:M)</f>
        <v>0.4320601851851852</v>
      </c>
      <c r="R90" s="5"/>
      <c r="S90" s="5"/>
    </row>
    <row r="91" spans="1:19" ht="12.75">
      <c r="A91" s="24" t="s">
        <v>42</v>
      </c>
      <c r="B91" s="24" t="s">
        <v>52</v>
      </c>
      <c r="C91" s="25">
        <v>37913</v>
      </c>
      <c r="D91" s="26">
        <v>6</v>
      </c>
      <c r="E91" s="25" t="s">
        <v>59</v>
      </c>
      <c r="F91" s="27"/>
      <c r="G91" s="24" t="s">
        <v>162</v>
      </c>
      <c r="H91" s="24" t="s">
        <v>21</v>
      </c>
      <c r="I91" s="28">
        <v>70</v>
      </c>
      <c r="J91" s="29">
        <v>23.31</v>
      </c>
      <c r="K91" s="30">
        <v>0.12513888888888888</v>
      </c>
      <c r="L91" s="31">
        <v>67</v>
      </c>
      <c r="M91" s="30">
        <v>0.12513888888888888</v>
      </c>
      <c r="N91" s="29">
        <f t="shared" si="6"/>
        <v>23.30743618201998</v>
      </c>
      <c r="P91" s="37" t="s">
        <v>56</v>
      </c>
      <c r="Q91" s="18">
        <f>SUMIF(A:A,"trenažér",M:M)</f>
        <v>0.4166666666666667</v>
      </c>
      <c r="R91" s="5"/>
      <c r="S91" s="5"/>
    </row>
    <row r="92" spans="1:19" ht="12.75">
      <c r="A92" s="24" t="s">
        <v>164</v>
      </c>
      <c r="B92" s="24" t="s">
        <v>52</v>
      </c>
      <c r="C92" s="25">
        <v>37917</v>
      </c>
      <c r="D92" s="26">
        <v>20</v>
      </c>
      <c r="E92" s="25"/>
      <c r="F92" s="27"/>
      <c r="G92" s="24" t="s">
        <v>165</v>
      </c>
      <c r="H92" s="24" t="s">
        <v>165</v>
      </c>
      <c r="I92" s="28">
        <v>20</v>
      </c>
      <c r="J92" s="29">
        <v>26.5</v>
      </c>
      <c r="K92" s="30">
        <v>0.03144675925925926</v>
      </c>
      <c r="L92" s="31">
        <v>42</v>
      </c>
      <c r="M92" s="30">
        <v>0.03144675925925926</v>
      </c>
      <c r="N92" s="29">
        <f t="shared" si="6"/>
        <v>26.499815973500187</v>
      </c>
      <c r="P92" s="2" t="s">
        <v>38</v>
      </c>
      <c r="Q92" s="14">
        <f>AVERAGE(N:N)</f>
        <v>23.265700712149904</v>
      </c>
      <c r="R92" s="5"/>
      <c r="S92" s="5"/>
    </row>
    <row r="93" spans="1:19" ht="12.75">
      <c r="A93" s="24" t="s">
        <v>42</v>
      </c>
      <c r="B93" s="24" t="s">
        <v>52</v>
      </c>
      <c r="C93" s="25">
        <v>37920</v>
      </c>
      <c r="D93" s="26">
        <v>5</v>
      </c>
      <c r="E93" s="25" t="s">
        <v>88</v>
      </c>
      <c r="F93" s="27"/>
      <c r="G93" s="24" t="s">
        <v>58</v>
      </c>
      <c r="H93" s="24" t="s">
        <v>20</v>
      </c>
      <c r="I93" s="28">
        <v>65.1</v>
      </c>
      <c r="J93" s="29">
        <v>24.03</v>
      </c>
      <c r="K93" s="30">
        <v>0.11285879629629629</v>
      </c>
      <c r="L93" s="31">
        <v>58</v>
      </c>
      <c r="M93" s="30">
        <v>0.11285879629629629</v>
      </c>
      <c r="N93" s="29">
        <f t="shared" si="6"/>
        <v>24.03445800430725</v>
      </c>
      <c r="P93" s="37" t="s">
        <v>42</v>
      </c>
      <c r="Q93" s="14">
        <f>(SUMIF(A:A,"silnice",N:N))/COUNTIF(A:A,"silnice")</f>
        <v>20.462619494200254</v>
      </c>
      <c r="R93" s="5"/>
      <c r="S93" s="5"/>
    </row>
    <row r="94" spans="1:17" ht="12.75">
      <c r="A94" s="24" t="s">
        <v>42</v>
      </c>
      <c r="B94" s="24" t="s">
        <v>52</v>
      </c>
      <c r="C94" s="25">
        <v>37922</v>
      </c>
      <c r="D94" s="26">
        <v>8</v>
      </c>
      <c r="E94" s="25" t="s">
        <v>59</v>
      </c>
      <c r="F94" s="27"/>
      <c r="G94" s="24" t="s">
        <v>58</v>
      </c>
      <c r="H94" s="24" t="s">
        <v>163</v>
      </c>
      <c r="I94" s="28">
        <v>105.3</v>
      </c>
      <c r="J94" s="29">
        <v>23.71</v>
      </c>
      <c r="K94" s="30">
        <v>0.18505787037037036</v>
      </c>
      <c r="L94" s="31">
        <v>54</v>
      </c>
      <c r="M94" s="30">
        <v>0.19049768518518517</v>
      </c>
      <c r="N94" s="29">
        <f t="shared" si="6"/>
        <v>23.031775928063677</v>
      </c>
      <c r="P94" s="37" t="s">
        <v>164</v>
      </c>
      <c r="Q94" s="14">
        <f>(SUMIF(A:A,"válce",N:N))/COUNTIF(A:A,"válce")</f>
        <v>31.970821994990825</v>
      </c>
    </row>
    <row r="95" spans="1:17" ht="12.75">
      <c r="A95" s="24" t="s">
        <v>42</v>
      </c>
      <c r="B95" s="24" t="s">
        <v>52</v>
      </c>
      <c r="C95" s="25">
        <v>37925</v>
      </c>
      <c r="D95" s="26">
        <v>9</v>
      </c>
      <c r="E95" s="25" t="s">
        <v>66</v>
      </c>
      <c r="F95" s="27"/>
      <c r="G95" s="24" t="s">
        <v>58</v>
      </c>
      <c r="H95" s="24" t="s">
        <v>22</v>
      </c>
      <c r="I95" s="28">
        <v>87.1</v>
      </c>
      <c r="J95" s="29">
        <v>22.22</v>
      </c>
      <c r="K95" s="30">
        <v>0.16331018518518517</v>
      </c>
      <c r="L95" s="31">
        <v>50.5</v>
      </c>
      <c r="M95" s="30">
        <v>0.16883101851851853</v>
      </c>
      <c r="N95" s="29">
        <f t="shared" si="6"/>
        <v>21.495852471378623</v>
      </c>
      <c r="P95" s="37" t="s">
        <v>56</v>
      </c>
      <c r="Q95" s="14">
        <f>(SUMIF(A:A,"trenažér",N:N))/COUNTIF(A:A,"trenažér")</f>
        <v>20</v>
      </c>
    </row>
    <row r="96" spans="1:17" ht="12.75">
      <c r="A96" s="24" t="s">
        <v>42</v>
      </c>
      <c r="B96" s="24" t="s">
        <v>53</v>
      </c>
      <c r="C96" s="25">
        <v>37929</v>
      </c>
      <c r="D96" s="26">
        <v>12</v>
      </c>
      <c r="E96" s="25" t="s">
        <v>66</v>
      </c>
      <c r="F96" s="27"/>
      <c r="G96" s="24" t="s">
        <v>58</v>
      </c>
      <c r="H96" s="24" t="s">
        <v>22</v>
      </c>
      <c r="I96" s="28">
        <v>64.2</v>
      </c>
      <c r="J96" s="29">
        <v>22</v>
      </c>
      <c r="K96" s="30">
        <v>0.1215625</v>
      </c>
      <c r="L96" s="31">
        <v>52</v>
      </c>
      <c r="M96" s="30">
        <v>0.1215625</v>
      </c>
      <c r="N96" s="29">
        <f t="shared" si="6"/>
        <v>22.005141388174806</v>
      </c>
      <c r="P96" s="90" t="s">
        <v>68</v>
      </c>
      <c r="Q96" s="15">
        <f>MAX(O:O)</f>
        <v>177</v>
      </c>
    </row>
    <row r="97" spans="1:14" ht="12.75">
      <c r="A97" s="24" t="s">
        <v>42</v>
      </c>
      <c r="B97" s="24" t="s">
        <v>53</v>
      </c>
      <c r="C97" s="25">
        <v>37933</v>
      </c>
      <c r="D97" s="26">
        <v>8</v>
      </c>
      <c r="E97" s="25" t="s">
        <v>59</v>
      </c>
      <c r="F97" s="27"/>
      <c r="G97" s="24" t="s">
        <v>58</v>
      </c>
      <c r="H97" s="24" t="s">
        <v>22</v>
      </c>
      <c r="I97" s="28">
        <v>55.2</v>
      </c>
      <c r="J97" s="29">
        <v>21.8</v>
      </c>
      <c r="K97" s="30">
        <v>0.10546296296296297</v>
      </c>
      <c r="L97" s="31">
        <v>50.5</v>
      </c>
      <c r="M97" s="30">
        <v>0.10546296296296297</v>
      </c>
      <c r="N97" s="29">
        <f t="shared" si="6"/>
        <v>21.808604038630378</v>
      </c>
    </row>
    <row r="98" spans="1:14" ht="12.75">
      <c r="A98" s="24" t="s">
        <v>42</v>
      </c>
      <c r="B98" s="24" t="s">
        <v>53</v>
      </c>
      <c r="C98" s="25">
        <v>37934</v>
      </c>
      <c r="D98" s="26">
        <v>10</v>
      </c>
      <c r="E98" s="25" t="s">
        <v>59</v>
      </c>
      <c r="F98" s="27"/>
      <c r="G98" s="24" t="s">
        <v>161</v>
      </c>
      <c r="H98" s="24" t="s">
        <v>161</v>
      </c>
      <c r="I98" s="28">
        <v>85.4</v>
      </c>
      <c r="J98" s="29">
        <v>21.4</v>
      </c>
      <c r="K98" s="30">
        <v>0.16630787037037037</v>
      </c>
      <c r="L98" s="31">
        <v>61</v>
      </c>
      <c r="M98" s="30">
        <v>0.17789351851851853</v>
      </c>
      <c r="N98" s="29">
        <f t="shared" si="6"/>
        <v>20.00260247234873</v>
      </c>
    </row>
    <row r="99" spans="1:19" ht="12.75">
      <c r="A99" s="24" t="s">
        <v>42</v>
      </c>
      <c r="B99" s="24" t="s">
        <v>53</v>
      </c>
      <c r="C99" s="25">
        <v>37940</v>
      </c>
      <c r="D99" s="26">
        <v>8</v>
      </c>
      <c r="E99" s="25" t="s">
        <v>88</v>
      </c>
      <c r="F99" s="27"/>
      <c r="G99" s="24" t="s">
        <v>58</v>
      </c>
      <c r="H99" s="24" t="s">
        <v>22</v>
      </c>
      <c r="I99" s="28">
        <v>120.1</v>
      </c>
      <c r="J99" s="29">
        <v>23.22</v>
      </c>
      <c r="K99" s="30">
        <v>0.21555555555555558</v>
      </c>
      <c r="L99" s="31">
        <v>52.5</v>
      </c>
      <c r="M99" s="30">
        <v>0.24305555555555555</v>
      </c>
      <c r="N99" s="29">
        <f t="shared" si="6"/>
        <v>20.588571428571427</v>
      </c>
      <c r="P99" s="38" t="s">
        <v>82</v>
      </c>
      <c r="Q99" s="38" t="s">
        <v>83</v>
      </c>
      <c r="R99" s="38" t="s">
        <v>84</v>
      </c>
      <c r="S99" s="38" t="s">
        <v>62</v>
      </c>
    </row>
    <row r="100" spans="1:19" ht="12.75">
      <c r="A100" s="24" t="s">
        <v>42</v>
      </c>
      <c r="B100" s="24" t="s">
        <v>53</v>
      </c>
      <c r="C100" s="25">
        <v>37945</v>
      </c>
      <c r="D100" s="26">
        <v>12</v>
      </c>
      <c r="E100" s="25" t="s">
        <v>88</v>
      </c>
      <c r="F100" s="27"/>
      <c r="G100" s="24" t="s">
        <v>58</v>
      </c>
      <c r="H100" s="24" t="s">
        <v>166</v>
      </c>
      <c r="I100" s="28">
        <v>112.75</v>
      </c>
      <c r="J100" s="29">
        <v>22.5</v>
      </c>
      <c r="K100" s="30">
        <v>0.20877314814814815</v>
      </c>
      <c r="L100" s="31">
        <v>66</v>
      </c>
      <c r="M100" s="30">
        <v>0.22013888888888888</v>
      </c>
      <c r="N100" s="29">
        <f t="shared" si="6"/>
        <v>21.34069400630915</v>
      </c>
      <c r="P100" s="2" t="s">
        <v>43</v>
      </c>
      <c r="Q100" s="17">
        <f>SUMIF(B:B,"leden",I:I)</f>
        <v>253.15</v>
      </c>
      <c r="R100" s="17">
        <f>Q100</f>
        <v>253.15</v>
      </c>
      <c r="S100" s="39">
        <f>Q100/20</f>
        <v>12.6575</v>
      </c>
    </row>
    <row r="101" spans="1:19" ht="12.75">
      <c r="A101" s="24" t="s">
        <v>42</v>
      </c>
      <c r="B101" s="24" t="s">
        <v>53</v>
      </c>
      <c r="C101" s="25">
        <v>37948</v>
      </c>
      <c r="D101" s="26">
        <v>7</v>
      </c>
      <c r="E101" s="25" t="s">
        <v>61</v>
      </c>
      <c r="F101" s="27"/>
      <c r="G101" s="24" t="s">
        <v>162</v>
      </c>
      <c r="H101" s="24" t="s">
        <v>22</v>
      </c>
      <c r="I101" s="28">
        <v>94.25</v>
      </c>
      <c r="J101" s="29">
        <v>22.9</v>
      </c>
      <c r="K101" s="30">
        <v>0.17146990740740742</v>
      </c>
      <c r="L101" s="31">
        <v>52.5</v>
      </c>
      <c r="M101" s="30">
        <v>0.17777777777777778</v>
      </c>
      <c r="N101" s="29">
        <f t="shared" si="6"/>
        <v>22.08984375</v>
      </c>
      <c r="P101" s="2" t="s">
        <v>44</v>
      </c>
      <c r="Q101" s="17">
        <f>SUMIF(B:B,"únor",I:I)</f>
        <v>294.2</v>
      </c>
      <c r="R101" s="17">
        <f>R100+Q101</f>
        <v>547.35</v>
      </c>
      <c r="S101" s="39">
        <f aca="true" t="shared" si="7" ref="S101:S111">Q101/20</f>
        <v>14.709999999999999</v>
      </c>
    </row>
    <row r="102" spans="1:19" ht="12.75">
      <c r="A102" s="24" t="s">
        <v>164</v>
      </c>
      <c r="B102" s="24" t="s">
        <v>53</v>
      </c>
      <c r="C102" s="25">
        <v>37954</v>
      </c>
      <c r="D102" s="26">
        <v>20</v>
      </c>
      <c r="E102" s="25"/>
      <c r="F102" s="27"/>
      <c r="G102" s="24" t="s">
        <v>165</v>
      </c>
      <c r="H102" s="24" t="s">
        <v>165</v>
      </c>
      <c r="I102" s="28">
        <v>33</v>
      </c>
      <c r="J102" s="29">
        <v>31.4</v>
      </c>
      <c r="K102" s="30">
        <v>0.0437962962962963</v>
      </c>
      <c r="L102" s="31">
        <v>45</v>
      </c>
      <c r="M102" s="30">
        <v>0.0437962962962963</v>
      </c>
      <c r="N102" s="29">
        <f t="shared" si="6"/>
        <v>31.3953488372093</v>
      </c>
      <c r="P102" s="2" t="s">
        <v>45</v>
      </c>
      <c r="Q102" s="17">
        <f>SUMIF(B:B,"březen",I:I)</f>
        <v>571.65</v>
      </c>
      <c r="R102" s="17">
        <f aca="true" t="shared" si="8" ref="R102:R111">R101+Q102</f>
        <v>1119</v>
      </c>
      <c r="S102" s="39">
        <f t="shared" si="7"/>
        <v>28.5825</v>
      </c>
    </row>
    <row r="103" spans="1:19" ht="12.75">
      <c r="A103" s="24" t="s">
        <v>42</v>
      </c>
      <c r="B103" s="24" t="s">
        <v>53</v>
      </c>
      <c r="C103" s="25">
        <v>37955</v>
      </c>
      <c r="D103" s="26">
        <v>8</v>
      </c>
      <c r="E103" s="25" t="s">
        <v>61</v>
      </c>
      <c r="F103" s="27"/>
      <c r="G103" s="24" t="s">
        <v>58</v>
      </c>
      <c r="H103" s="24" t="s">
        <v>22</v>
      </c>
      <c r="I103" s="28">
        <v>74.8</v>
      </c>
      <c r="J103" s="29">
        <v>24.82</v>
      </c>
      <c r="K103" s="30">
        <v>0.1255902777777778</v>
      </c>
      <c r="L103" s="31">
        <v>56</v>
      </c>
      <c r="M103" s="30">
        <v>0.12986111111111112</v>
      </c>
      <c r="N103" s="29">
        <f t="shared" si="6"/>
        <v>23.999999999999996</v>
      </c>
      <c r="P103" s="2" t="s">
        <v>46</v>
      </c>
      <c r="Q103" s="17">
        <f>SUMIF(B:B,"duben",I:I)</f>
        <v>511</v>
      </c>
      <c r="R103" s="17">
        <f t="shared" si="8"/>
        <v>1630</v>
      </c>
      <c r="S103" s="39">
        <f t="shared" si="7"/>
        <v>25.55</v>
      </c>
    </row>
    <row r="104" spans="1:19" ht="12.75">
      <c r="A104" s="24" t="s">
        <v>164</v>
      </c>
      <c r="B104" s="24" t="s">
        <v>54</v>
      </c>
      <c r="C104" s="25">
        <v>37966</v>
      </c>
      <c r="D104" s="26">
        <v>20</v>
      </c>
      <c r="E104" s="25"/>
      <c r="F104" s="27"/>
      <c r="G104" s="24" t="s">
        <v>165</v>
      </c>
      <c r="H104" s="24" t="s">
        <v>165</v>
      </c>
      <c r="I104" s="28">
        <v>40.3</v>
      </c>
      <c r="J104" s="29">
        <v>32.07</v>
      </c>
      <c r="K104" s="30">
        <v>0.05236111111111111</v>
      </c>
      <c r="L104" s="31">
        <v>45</v>
      </c>
      <c r="M104" s="30">
        <v>0.05236111111111111</v>
      </c>
      <c r="N104" s="29">
        <f t="shared" si="6"/>
        <v>32.06896551724138</v>
      </c>
      <c r="P104" s="2" t="s">
        <v>47</v>
      </c>
      <c r="Q104" s="17">
        <f>SUMIF(B:B,"květen",I:I)</f>
        <v>898.48</v>
      </c>
      <c r="R104" s="17">
        <f t="shared" si="8"/>
        <v>2528.48</v>
      </c>
      <c r="S104" s="39">
        <f t="shared" si="7"/>
        <v>44.924</v>
      </c>
    </row>
    <row r="105" spans="1:19" ht="12.75">
      <c r="A105" s="24" t="s">
        <v>164</v>
      </c>
      <c r="B105" s="24" t="s">
        <v>54</v>
      </c>
      <c r="C105" s="25">
        <v>37969</v>
      </c>
      <c r="D105" s="26">
        <v>18</v>
      </c>
      <c r="E105" s="25"/>
      <c r="F105" s="27"/>
      <c r="G105" s="24" t="s">
        <v>165</v>
      </c>
      <c r="H105" s="24" t="s">
        <v>165</v>
      </c>
      <c r="I105" s="28">
        <v>47.3</v>
      </c>
      <c r="J105" s="29">
        <v>33.32</v>
      </c>
      <c r="K105" s="30">
        <v>0.059155092592592586</v>
      </c>
      <c r="L105" s="31">
        <v>45.5</v>
      </c>
      <c r="M105" s="30">
        <v>0.059155092592592586</v>
      </c>
      <c r="N105" s="29">
        <f t="shared" si="6"/>
        <v>33.31637644296615</v>
      </c>
      <c r="P105" s="2" t="s">
        <v>48</v>
      </c>
      <c r="Q105" s="17">
        <f>SUMIF(B:B,"červen",I:I)</f>
        <v>591.52</v>
      </c>
      <c r="R105" s="17">
        <f t="shared" si="8"/>
        <v>3120</v>
      </c>
      <c r="S105" s="39">
        <f t="shared" si="7"/>
        <v>29.576</v>
      </c>
    </row>
    <row r="106" spans="1:19" ht="12.75">
      <c r="A106" s="35" t="s">
        <v>42</v>
      </c>
      <c r="B106" s="24" t="s">
        <v>54</v>
      </c>
      <c r="C106" s="25">
        <v>37976</v>
      </c>
      <c r="D106" s="26">
        <v>7</v>
      </c>
      <c r="E106" s="25" t="s">
        <v>167</v>
      </c>
      <c r="F106" s="27"/>
      <c r="G106" s="24" t="s">
        <v>58</v>
      </c>
      <c r="H106" s="24" t="s">
        <v>19</v>
      </c>
      <c r="I106" s="28">
        <v>50.2</v>
      </c>
      <c r="J106" s="29">
        <v>20.33</v>
      </c>
      <c r="K106" s="30">
        <v>0.10289351851851852</v>
      </c>
      <c r="L106" s="31">
        <v>49</v>
      </c>
      <c r="M106" s="30">
        <v>0.10289351851851852</v>
      </c>
      <c r="N106" s="29">
        <f t="shared" si="6"/>
        <v>20.32845894263217</v>
      </c>
      <c r="P106" s="2" t="s">
        <v>49</v>
      </c>
      <c r="Q106" s="17">
        <f>SUMIF(B:B,"červenec",I:I)</f>
        <v>1027.1100000000001</v>
      </c>
      <c r="R106" s="17">
        <f t="shared" si="8"/>
        <v>4147.110000000001</v>
      </c>
      <c r="S106" s="39">
        <f t="shared" si="7"/>
        <v>51.355500000000006</v>
      </c>
    </row>
    <row r="107" spans="1:19" ht="12.75">
      <c r="A107" s="24" t="s">
        <v>164</v>
      </c>
      <c r="B107" s="24" t="s">
        <v>54</v>
      </c>
      <c r="C107" s="25">
        <v>37981</v>
      </c>
      <c r="D107" s="26">
        <v>20</v>
      </c>
      <c r="E107" s="25"/>
      <c r="F107" s="27"/>
      <c r="G107" s="24" t="s">
        <v>165</v>
      </c>
      <c r="H107" s="24" t="s">
        <v>165</v>
      </c>
      <c r="I107" s="28">
        <v>26.9</v>
      </c>
      <c r="J107" s="29">
        <v>32.37</v>
      </c>
      <c r="K107" s="30">
        <v>0.03462962962962963</v>
      </c>
      <c r="L107" s="31">
        <v>45</v>
      </c>
      <c r="M107" s="30">
        <v>0.03462962962962963</v>
      </c>
      <c r="N107" s="29">
        <f t="shared" si="6"/>
        <v>32.36631016042781</v>
      </c>
      <c r="O107" s="32">
        <v>164</v>
      </c>
      <c r="P107" s="2" t="s">
        <v>50</v>
      </c>
      <c r="Q107" s="17">
        <f>SUMIF(B:B,"srpen",I:I)</f>
        <v>1479.1799999999998</v>
      </c>
      <c r="R107" s="17">
        <f t="shared" si="8"/>
        <v>5626.290000000001</v>
      </c>
      <c r="S107" s="39">
        <f t="shared" si="7"/>
        <v>73.95899999999999</v>
      </c>
    </row>
    <row r="108" spans="1:19" ht="12.75">
      <c r="A108" s="24" t="s">
        <v>164</v>
      </c>
      <c r="B108" s="24" t="s">
        <v>54</v>
      </c>
      <c r="C108" s="25">
        <v>37982</v>
      </c>
      <c r="D108" s="26">
        <v>18</v>
      </c>
      <c r="E108" s="25"/>
      <c r="F108" s="27"/>
      <c r="G108" s="24" t="s">
        <v>168</v>
      </c>
      <c r="H108" s="24" t="s">
        <v>165</v>
      </c>
      <c r="I108" s="28">
        <v>35.3</v>
      </c>
      <c r="J108" s="29">
        <v>34.06</v>
      </c>
      <c r="K108" s="30">
        <v>0.043182870370370365</v>
      </c>
      <c r="L108" s="31">
        <v>46</v>
      </c>
      <c r="M108" s="30">
        <v>0.043182870370370365</v>
      </c>
      <c r="N108" s="29">
        <f>(I108/M108)/24</f>
        <v>34.060573572768696</v>
      </c>
      <c r="O108" s="32">
        <v>174</v>
      </c>
      <c r="P108" s="2" t="s">
        <v>51</v>
      </c>
      <c r="Q108" s="17">
        <f>SUMIF(B:B,"září",I:I)</f>
        <v>839.4299999999998</v>
      </c>
      <c r="R108" s="17">
        <f t="shared" si="8"/>
        <v>6465.720000000001</v>
      </c>
      <c r="S108" s="39">
        <f t="shared" si="7"/>
        <v>41.97149999999999</v>
      </c>
    </row>
    <row r="109" spans="1:19" ht="12.75">
      <c r="A109" s="24" t="s">
        <v>164</v>
      </c>
      <c r="B109" s="24" t="s">
        <v>54</v>
      </c>
      <c r="C109" s="25">
        <v>37983</v>
      </c>
      <c r="D109" s="26">
        <v>18</v>
      </c>
      <c r="E109" s="25"/>
      <c r="F109" s="27"/>
      <c r="G109" s="24" t="s">
        <v>165</v>
      </c>
      <c r="H109" s="24" t="s">
        <v>165</v>
      </c>
      <c r="I109" s="28">
        <v>45</v>
      </c>
      <c r="J109" s="29">
        <v>31.55</v>
      </c>
      <c r="K109" s="30">
        <v>0.0594212962962963</v>
      </c>
      <c r="L109" s="31">
        <v>44</v>
      </c>
      <c r="M109" s="30">
        <v>0.0594212962962963</v>
      </c>
      <c r="N109" s="29">
        <f>(I109/M109)/24</f>
        <v>31.55434359174133</v>
      </c>
      <c r="O109" s="32">
        <v>172</v>
      </c>
      <c r="P109" s="2" t="s">
        <v>52</v>
      </c>
      <c r="Q109" s="17">
        <f>SUMIF(B:B,"říjen",I:I)</f>
        <v>565.38</v>
      </c>
      <c r="R109" s="17">
        <f t="shared" si="8"/>
        <v>7031.100000000001</v>
      </c>
      <c r="S109" s="39">
        <f t="shared" si="7"/>
        <v>28.269</v>
      </c>
    </row>
    <row r="110" spans="1:19" ht="12.75">
      <c r="A110" s="24" t="s">
        <v>164</v>
      </c>
      <c r="B110" s="24" t="s">
        <v>54</v>
      </c>
      <c r="C110" s="25">
        <v>37985</v>
      </c>
      <c r="D110" s="26">
        <v>18</v>
      </c>
      <c r="E110" s="25"/>
      <c r="F110" s="27"/>
      <c r="G110" s="24" t="s">
        <v>165</v>
      </c>
      <c r="H110" s="24" t="s">
        <v>165</v>
      </c>
      <c r="I110" s="28">
        <v>50.4</v>
      </c>
      <c r="J110" s="29">
        <v>31.62</v>
      </c>
      <c r="K110" s="30">
        <v>0.064375</v>
      </c>
      <c r="L110" s="31">
        <v>42.5</v>
      </c>
      <c r="M110" s="30">
        <v>0.064375</v>
      </c>
      <c r="N110" s="29">
        <f>(I110/M110)/24</f>
        <v>32.62135922330097</v>
      </c>
      <c r="O110" s="32">
        <v>171</v>
      </c>
      <c r="P110" s="2" t="s">
        <v>53</v>
      </c>
      <c r="Q110" s="17">
        <f>SUMIF(B:B,"listopad",I:I)</f>
        <v>639.6999999999999</v>
      </c>
      <c r="R110" s="17">
        <f t="shared" si="8"/>
        <v>7670.800000000001</v>
      </c>
      <c r="S110" s="39">
        <f t="shared" si="7"/>
        <v>31.984999999999996</v>
      </c>
    </row>
    <row r="111" spans="1:19" ht="12.75">
      <c r="A111" s="24" t="s">
        <v>164</v>
      </c>
      <c r="B111" s="24" t="s">
        <v>54</v>
      </c>
      <c r="C111" s="25">
        <v>37986</v>
      </c>
      <c r="D111" s="26">
        <v>26</v>
      </c>
      <c r="E111" s="25"/>
      <c r="F111" s="27"/>
      <c r="G111" s="24" t="s">
        <v>165</v>
      </c>
      <c r="H111" s="24" t="s">
        <v>165</v>
      </c>
      <c r="I111" s="28">
        <v>35.5</v>
      </c>
      <c r="J111" s="29">
        <v>33.85</v>
      </c>
      <c r="K111" s="30">
        <v>0.04369212962962963</v>
      </c>
      <c r="L111" s="31">
        <v>43.5</v>
      </c>
      <c r="M111" s="30">
        <v>0.04369212962962963</v>
      </c>
      <c r="N111" s="29">
        <f>(I111/M111)/24</f>
        <v>33.854304635761586</v>
      </c>
      <c r="P111" s="2" t="s">
        <v>54</v>
      </c>
      <c r="Q111" s="17">
        <f>SUMIF(B:B,"prosinec",I:I)</f>
        <v>330.9</v>
      </c>
      <c r="R111" s="17">
        <f t="shared" si="8"/>
        <v>8001.700000000001</v>
      </c>
      <c r="S111" s="39">
        <f t="shared" si="7"/>
        <v>16.544999999999998</v>
      </c>
    </row>
  </sheetData>
  <autoFilter ref="A1:Q42"/>
  <mergeCells count="1">
    <mergeCell ref="P71:Q71"/>
  </mergeCell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zoomScale="80" zoomScaleNormal="80" workbookViewId="0" topLeftCell="B1">
      <pane ySplit="1" topLeftCell="BM23" activePane="bottomLeft" state="frozen"/>
      <selection pane="topLeft" activeCell="A1" sqref="A1"/>
      <selection pane="bottomLeft" activeCell="O43" sqref="O43:Q55"/>
    </sheetView>
  </sheetViews>
  <sheetFormatPr defaultColWidth="9.00390625" defaultRowHeight="12.75"/>
  <cols>
    <col min="1" max="1" width="7.25390625" style="47" bestFit="1" customWidth="1"/>
    <col min="2" max="2" width="8.25390625" style="47" bestFit="1" customWidth="1"/>
    <col min="3" max="3" width="8.875" style="48" bestFit="1" customWidth="1"/>
    <col min="4" max="4" width="9.625" style="49" bestFit="1" customWidth="1"/>
    <col min="5" max="5" width="12.625" style="48" bestFit="1" customWidth="1"/>
    <col min="6" max="6" width="8.125" style="58" bestFit="1" customWidth="1"/>
    <col min="7" max="7" width="9.875" style="47" customWidth="1"/>
    <col min="8" max="8" width="15.00390625" style="47" bestFit="1" customWidth="1"/>
    <col min="9" max="9" width="13.00390625" style="50" bestFit="1" customWidth="1"/>
    <col min="10" max="10" width="16.375" style="51" bestFit="1" customWidth="1"/>
    <col min="11" max="11" width="13.625" style="52" bestFit="1" customWidth="1"/>
    <col min="12" max="12" width="11.625" style="53" bestFit="1" customWidth="1"/>
    <col min="13" max="13" width="13.875" style="51" bestFit="1" customWidth="1"/>
    <col min="14" max="14" width="13.75390625" style="0" customWidth="1"/>
    <col min="15" max="15" width="15.125" style="0" bestFit="1" customWidth="1"/>
    <col min="16" max="16" width="13.125" style="0" bestFit="1" customWidth="1"/>
    <col min="17" max="17" width="11.625" style="0" bestFit="1" customWidth="1"/>
    <col min="18" max="16384" width="15.875" style="0" customWidth="1"/>
  </cols>
  <sheetData>
    <row r="1" spans="1:16" s="40" customFormat="1" ht="12.75">
      <c r="A1" s="60" t="s">
        <v>11</v>
      </c>
      <c r="B1" s="60" t="s">
        <v>97</v>
      </c>
      <c r="C1" s="60" t="s">
        <v>0</v>
      </c>
      <c r="D1" s="61" t="s">
        <v>8</v>
      </c>
      <c r="E1" s="60" t="s">
        <v>9</v>
      </c>
      <c r="F1" s="62" t="s">
        <v>10</v>
      </c>
      <c r="G1" s="63" t="s">
        <v>1</v>
      </c>
      <c r="H1" s="63" t="s">
        <v>2</v>
      </c>
      <c r="I1" s="63" t="s">
        <v>3</v>
      </c>
      <c r="J1" s="63" t="s">
        <v>37</v>
      </c>
      <c r="K1" s="63" t="s">
        <v>4</v>
      </c>
      <c r="L1" s="63" t="s">
        <v>5</v>
      </c>
      <c r="M1" s="63" t="s">
        <v>30</v>
      </c>
      <c r="N1" s="63" t="s">
        <v>38</v>
      </c>
      <c r="O1" s="92"/>
      <c r="P1" s="92"/>
    </row>
    <row r="2" spans="1:16" ht="12.75">
      <c r="A2" s="47" t="s">
        <v>86</v>
      </c>
      <c r="B2" s="47" t="s">
        <v>44</v>
      </c>
      <c r="C2" s="48">
        <v>37288</v>
      </c>
      <c r="D2" s="49">
        <v>10</v>
      </c>
      <c r="E2" s="48" t="s">
        <v>90</v>
      </c>
      <c r="F2" s="64" t="s">
        <v>98</v>
      </c>
      <c r="G2" s="47" t="s">
        <v>16</v>
      </c>
      <c r="H2" s="47" t="s">
        <v>24</v>
      </c>
      <c r="I2" s="50">
        <v>119.05</v>
      </c>
      <c r="J2" s="51">
        <v>18.37</v>
      </c>
      <c r="K2" s="52">
        <v>0.27001157407407406</v>
      </c>
      <c r="L2" s="53">
        <v>67</v>
      </c>
      <c r="M2" s="52">
        <v>0.3333333333333333</v>
      </c>
      <c r="N2" s="51">
        <f aca="true" t="shared" si="0" ref="N2:N12">(I2/M2)/24</f>
        <v>14.881250000000001</v>
      </c>
      <c r="O2" s="54"/>
      <c r="P2" s="54"/>
    </row>
    <row r="3" spans="1:17" ht="12.75">
      <c r="A3" s="47" t="s">
        <v>86</v>
      </c>
      <c r="B3" s="47" t="s">
        <v>44</v>
      </c>
      <c r="C3" s="48">
        <v>37289</v>
      </c>
      <c r="D3" s="49">
        <v>14.7</v>
      </c>
      <c r="E3" s="48" t="s">
        <v>90</v>
      </c>
      <c r="F3" s="64" t="s">
        <v>99</v>
      </c>
      <c r="G3" s="47" t="s">
        <v>16</v>
      </c>
      <c r="H3" s="48" t="s">
        <v>100</v>
      </c>
      <c r="I3" s="50">
        <v>91.95</v>
      </c>
      <c r="J3" s="51">
        <v>18.6</v>
      </c>
      <c r="K3" s="52">
        <v>0.20311342592592593</v>
      </c>
      <c r="L3" s="53">
        <v>70</v>
      </c>
      <c r="M3" s="52">
        <v>0.22394675925925925</v>
      </c>
      <c r="N3" s="51">
        <f t="shared" si="0"/>
        <v>17.107860871362863</v>
      </c>
      <c r="O3" s="47"/>
      <c r="P3" s="55"/>
      <c r="Q3" s="56"/>
    </row>
    <row r="4" spans="1:16" ht="12.75">
      <c r="A4" s="47" t="s">
        <v>86</v>
      </c>
      <c r="B4" s="47" t="s">
        <v>44</v>
      </c>
      <c r="C4" s="48">
        <v>37290</v>
      </c>
      <c r="D4" s="49">
        <v>10</v>
      </c>
      <c r="E4" s="48" t="s">
        <v>101</v>
      </c>
      <c r="F4" s="65"/>
      <c r="G4" s="47" t="s">
        <v>102</v>
      </c>
      <c r="H4" s="47" t="s">
        <v>103</v>
      </c>
      <c r="I4" s="50">
        <v>26</v>
      </c>
      <c r="J4" s="51">
        <v>19.75</v>
      </c>
      <c r="K4" s="52">
        <v>0.05484953703703704</v>
      </c>
      <c r="L4" s="53">
        <v>64</v>
      </c>
      <c r="M4" s="52">
        <v>0.05484953703703704</v>
      </c>
      <c r="N4" s="51">
        <f t="shared" si="0"/>
        <v>19.7510023211648</v>
      </c>
      <c r="O4" s="54"/>
      <c r="P4" s="47"/>
    </row>
    <row r="5" spans="1:14" ht="12.75">
      <c r="A5" s="47" t="s">
        <v>86</v>
      </c>
      <c r="B5" s="47" t="s">
        <v>44</v>
      </c>
      <c r="C5" s="48">
        <v>37296</v>
      </c>
      <c r="D5" s="49">
        <v>9</v>
      </c>
      <c r="E5" s="48" t="s">
        <v>104</v>
      </c>
      <c r="F5" s="65"/>
      <c r="G5" s="47" t="s">
        <v>16</v>
      </c>
      <c r="H5" s="47" t="s">
        <v>87</v>
      </c>
      <c r="I5" s="50">
        <v>26</v>
      </c>
      <c r="J5" s="51">
        <v>22.43</v>
      </c>
      <c r="K5" s="52">
        <v>0.04787037037037037</v>
      </c>
      <c r="L5" s="53">
        <v>52</v>
      </c>
      <c r="M5" s="52">
        <v>0.04787037037037037</v>
      </c>
      <c r="N5" s="51">
        <f t="shared" si="0"/>
        <v>22.63056092843327</v>
      </c>
    </row>
    <row r="6" spans="1:14" ht="12.75">
      <c r="A6" s="47" t="s">
        <v>86</v>
      </c>
      <c r="B6" s="47" t="s">
        <v>44</v>
      </c>
      <c r="C6" s="48">
        <v>37297</v>
      </c>
      <c r="D6" s="49">
        <v>10</v>
      </c>
      <c r="E6" s="48" t="s">
        <v>104</v>
      </c>
      <c r="F6" s="64" t="s">
        <v>105</v>
      </c>
      <c r="G6" s="47" t="s">
        <v>16</v>
      </c>
      <c r="H6" s="48" t="s">
        <v>21</v>
      </c>
      <c r="I6" s="50">
        <v>81.24</v>
      </c>
      <c r="J6" s="51">
        <v>18.37</v>
      </c>
      <c r="K6" s="52">
        <v>0.1842013888888889</v>
      </c>
      <c r="L6" s="53">
        <v>62</v>
      </c>
      <c r="M6" s="52">
        <v>0.20833333333333334</v>
      </c>
      <c r="N6" s="51">
        <f>(I6/M6)/24</f>
        <v>16.247999999999998</v>
      </c>
    </row>
    <row r="7" spans="1:14" ht="12.75">
      <c r="A7" s="47" t="s">
        <v>86</v>
      </c>
      <c r="B7" s="47" t="s">
        <v>45</v>
      </c>
      <c r="C7" s="48">
        <v>37323</v>
      </c>
      <c r="D7" s="49">
        <v>9</v>
      </c>
      <c r="E7" s="48" t="s">
        <v>104</v>
      </c>
      <c r="F7" s="64" t="s">
        <v>99</v>
      </c>
      <c r="G7" s="47" t="s">
        <v>16</v>
      </c>
      <c r="H7" s="48" t="s">
        <v>100</v>
      </c>
      <c r="I7" s="50">
        <v>92</v>
      </c>
      <c r="J7" s="51">
        <v>19.51</v>
      </c>
      <c r="K7" s="52">
        <v>0.19643518518518518</v>
      </c>
      <c r="L7" s="53">
        <v>66</v>
      </c>
      <c r="M7" s="52">
        <v>0.21875</v>
      </c>
      <c r="N7" s="51">
        <f t="shared" si="0"/>
        <v>17.523809523809522</v>
      </c>
    </row>
    <row r="8" spans="1:14" ht="12.75">
      <c r="A8" s="47" t="s">
        <v>86</v>
      </c>
      <c r="B8" s="47" t="s">
        <v>45</v>
      </c>
      <c r="C8" s="48">
        <v>37325</v>
      </c>
      <c r="D8" s="49">
        <v>10</v>
      </c>
      <c r="E8" s="48" t="s">
        <v>101</v>
      </c>
      <c r="F8" s="64" t="s">
        <v>99</v>
      </c>
      <c r="G8" s="47" t="s">
        <v>16</v>
      </c>
      <c r="H8" s="48" t="s">
        <v>100</v>
      </c>
      <c r="I8" s="50">
        <v>91</v>
      </c>
      <c r="J8" s="51">
        <v>19.62</v>
      </c>
      <c r="K8" s="52">
        <v>0.19319444444444445</v>
      </c>
      <c r="L8" s="53">
        <v>65</v>
      </c>
      <c r="M8" s="52">
        <v>0.2152777777777778</v>
      </c>
      <c r="N8" s="51">
        <f t="shared" si="0"/>
        <v>17.612903225806452</v>
      </c>
    </row>
    <row r="9" spans="1:14" ht="12.75">
      <c r="A9" s="47" t="s">
        <v>86</v>
      </c>
      <c r="B9" s="47" t="s">
        <v>45</v>
      </c>
      <c r="C9" s="48">
        <v>37330</v>
      </c>
      <c r="D9" s="49">
        <v>7</v>
      </c>
      <c r="E9" s="48" t="s">
        <v>61</v>
      </c>
      <c r="F9" s="64" t="s">
        <v>99</v>
      </c>
      <c r="G9" s="47" t="s">
        <v>16</v>
      </c>
      <c r="H9" s="48" t="s">
        <v>100</v>
      </c>
      <c r="I9" s="50">
        <v>90.54</v>
      </c>
      <c r="J9" s="51">
        <v>21.74</v>
      </c>
      <c r="K9" s="52">
        <v>0.17350694444444445</v>
      </c>
      <c r="L9" s="53">
        <v>69</v>
      </c>
      <c r="M9" s="52">
        <v>0.1840277777777778</v>
      </c>
      <c r="N9" s="51">
        <f t="shared" si="0"/>
        <v>20.499622641509436</v>
      </c>
    </row>
    <row r="10" spans="1:14" ht="12.75">
      <c r="A10" s="47" t="s">
        <v>86</v>
      </c>
      <c r="B10" s="47" t="s">
        <v>45</v>
      </c>
      <c r="C10" s="48">
        <v>37344</v>
      </c>
      <c r="D10" s="49">
        <v>12</v>
      </c>
      <c r="E10" s="48" t="s">
        <v>106</v>
      </c>
      <c r="F10" s="65"/>
      <c r="G10" s="47" t="s">
        <v>16</v>
      </c>
      <c r="H10" s="47" t="s">
        <v>107</v>
      </c>
      <c r="I10" s="50">
        <v>129.75</v>
      </c>
      <c r="J10" s="51">
        <v>20.54</v>
      </c>
      <c r="K10" s="52">
        <v>0.2631365740740741</v>
      </c>
      <c r="L10" s="53">
        <v>71</v>
      </c>
      <c r="M10" s="52">
        <v>0.3333333333333333</v>
      </c>
      <c r="N10" s="51">
        <f t="shared" si="0"/>
        <v>16.21875</v>
      </c>
    </row>
    <row r="11" spans="1:14" ht="12.75">
      <c r="A11" s="47" t="s">
        <v>86</v>
      </c>
      <c r="B11" s="47" t="s">
        <v>45</v>
      </c>
      <c r="C11" s="48">
        <v>37346</v>
      </c>
      <c r="D11" s="49">
        <v>15</v>
      </c>
      <c r="E11" s="48" t="s">
        <v>90</v>
      </c>
      <c r="F11" s="65"/>
      <c r="G11" s="47" t="s">
        <v>102</v>
      </c>
      <c r="H11" s="47" t="s">
        <v>103</v>
      </c>
      <c r="I11" s="50">
        <v>30.05</v>
      </c>
      <c r="J11" s="51">
        <v>23.92</v>
      </c>
      <c r="K11" s="52">
        <v>0.05234953703703704</v>
      </c>
      <c r="L11" s="53">
        <v>60</v>
      </c>
      <c r="M11" s="52">
        <v>0.05234953703703704</v>
      </c>
      <c r="N11" s="51">
        <f t="shared" si="0"/>
        <v>23.91775370329427</v>
      </c>
    </row>
    <row r="12" spans="1:14" ht="12.75">
      <c r="A12" s="47" t="s">
        <v>86</v>
      </c>
      <c r="B12" s="47" t="s">
        <v>46</v>
      </c>
      <c r="C12" s="48">
        <v>37351</v>
      </c>
      <c r="D12" s="49">
        <v>5</v>
      </c>
      <c r="E12" s="48" t="s">
        <v>104</v>
      </c>
      <c r="F12" s="64" t="s">
        <v>98</v>
      </c>
      <c r="G12" s="47" t="s">
        <v>16</v>
      </c>
      <c r="H12" s="47" t="s">
        <v>24</v>
      </c>
      <c r="I12" s="50">
        <v>130.16</v>
      </c>
      <c r="J12" s="51">
        <v>19.41</v>
      </c>
      <c r="K12" s="52">
        <v>0.27934027777777776</v>
      </c>
      <c r="L12" s="53">
        <v>77</v>
      </c>
      <c r="M12" s="52">
        <v>0.3020833333333333</v>
      </c>
      <c r="N12" s="51">
        <f t="shared" si="0"/>
        <v>17.953103448275865</v>
      </c>
    </row>
    <row r="13" spans="1:15" ht="12.75">
      <c r="A13" s="47" t="s">
        <v>86</v>
      </c>
      <c r="B13" s="47" t="s">
        <v>46</v>
      </c>
      <c r="C13" s="48">
        <v>37352</v>
      </c>
      <c r="D13" s="49">
        <v>4</v>
      </c>
      <c r="E13" s="48" t="s">
        <v>108</v>
      </c>
      <c r="F13" s="65"/>
      <c r="I13" s="50">
        <v>22.26</v>
      </c>
      <c r="J13" s="51">
        <v>24</v>
      </c>
      <c r="K13" s="52">
        <v>1.511111111111111</v>
      </c>
      <c r="L13" s="53">
        <v>64</v>
      </c>
      <c r="M13" s="52">
        <v>0.04976851851851852</v>
      </c>
      <c r="N13" s="51">
        <f aca="true" t="shared" si="1" ref="N13:N18">(I13/M13)/24</f>
        <v>18.636279069767443</v>
      </c>
      <c r="O13" t="s">
        <v>109</v>
      </c>
    </row>
    <row r="14" spans="1:14" ht="12.75">
      <c r="A14" s="47" t="s">
        <v>86</v>
      </c>
      <c r="B14" s="47" t="s">
        <v>46</v>
      </c>
      <c r="C14" s="48">
        <v>37360</v>
      </c>
      <c r="D14" s="49">
        <v>12</v>
      </c>
      <c r="E14" s="48" t="s">
        <v>110</v>
      </c>
      <c r="F14" s="65"/>
      <c r="G14" s="47" t="s">
        <v>6</v>
      </c>
      <c r="H14" s="47" t="s">
        <v>24</v>
      </c>
      <c r="I14" s="50">
        <v>101</v>
      </c>
      <c r="J14" s="51">
        <v>18.8</v>
      </c>
      <c r="K14" s="52">
        <v>0.22384259259259257</v>
      </c>
      <c r="L14" s="53">
        <v>64</v>
      </c>
      <c r="M14" s="52">
        <v>0.2638888888888889</v>
      </c>
      <c r="N14" s="51">
        <f t="shared" si="1"/>
        <v>15.94736842105263</v>
      </c>
    </row>
    <row r="15" spans="1:14" ht="12.75">
      <c r="A15" s="47" t="s">
        <v>86</v>
      </c>
      <c r="B15" s="47" t="s">
        <v>46</v>
      </c>
      <c r="C15" s="48">
        <v>37365</v>
      </c>
      <c r="D15" s="49">
        <v>10</v>
      </c>
      <c r="E15" s="48" t="s">
        <v>66</v>
      </c>
      <c r="F15" s="64" t="s">
        <v>111</v>
      </c>
      <c r="G15" s="47" t="s">
        <v>112</v>
      </c>
      <c r="H15" s="47" t="s">
        <v>113</v>
      </c>
      <c r="I15" s="50">
        <v>87.67</v>
      </c>
      <c r="J15" s="51">
        <v>18.42</v>
      </c>
      <c r="K15" s="52">
        <v>0.19836805555555556</v>
      </c>
      <c r="L15" s="53">
        <v>63</v>
      </c>
      <c r="M15" s="52">
        <v>0.3333333333333333</v>
      </c>
      <c r="N15" s="51">
        <f t="shared" si="1"/>
        <v>10.958750000000002</v>
      </c>
    </row>
    <row r="16" spans="1:14" s="57" customFormat="1" ht="12.75">
      <c r="A16" s="47" t="s">
        <v>86</v>
      </c>
      <c r="B16" s="47" t="s">
        <v>46</v>
      </c>
      <c r="C16" s="48">
        <v>37366</v>
      </c>
      <c r="D16" s="49">
        <v>12</v>
      </c>
      <c r="E16" s="48" t="s">
        <v>66</v>
      </c>
      <c r="F16" s="65" t="s">
        <v>114</v>
      </c>
      <c r="G16" s="47" t="s">
        <v>112</v>
      </c>
      <c r="H16" s="47" t="s">
        <v>115</v>
      </c>
      <c r="I16" s="50">
        <v>124.93</v>
      </c>
      <c r="J16" s="51">
        <v>18.37</v>
      </c>
      <c r="K16" s="52">
        <v>0.28335648148148146</v>
      </c>
      <c r="L16" s="53">
        <v>54.4</v>
      </c>
      <c r="M16" s="52">
        <v>0.4166666666666667</v>
      </c>
      <c r="N16" s="51">
        <f t="shared" si="1"/>
        <v>12.493</v>
      </c>
    </row>
    <row r="17" spans="1:14" s="57" customFormat="1" ht="12.75">
      <c r="A17" s="47" t="s">
        <v>86</v>
      </c>
      <c r="B17" s="47" t="s">
        <v>46</v>
      </c>
      <c r="C17" s="48">
        <v>37367</v>
      </c>
      <c r="D17" s="49">
        <v>12</v>
      </c>
      <c r="E17" s="48" t="s">
        <v>66</v>
      </c>
      <c r="F17" s="65" t="s">
        <v>116</v>
      </c>
      <c r="G17" s="47" t="s">
        <v>112</v>
      </c>
      <c r="H17" s="47" t="s">
        <v>117</v>
      </c>
      <c r="I17" s="50">
        <v>78.59</v>
      </c>
      <c r="J17" s="51">
        <v>16.92</v>
      </c>
      <c r="K17" s="52">
        <v>0.1934837962962963</v>
      </c>
      <c r="L17" s="53">
        <v>51.7</v>
      </c>
      <c r="M17" s="52">
        <v>0.3125</v>
      </c>
      <c r="N17" s="51">
        <f t="shared" si="1"/>
        <v>10.478666666666667</v>
      </c>
    </row>
    <row r="18" spans="1:14" s="57" customFormat="1" ht="12.75">
      <c r="A18" s="47" t="s">
        <v>86</v>
      </c>
      <c r="B18" s="47" t="s">
        <v>46</v>
      </c>
      <c r="C18" s="48">
        <v>37372</v>
      </c>
      <c r="D18" s="49">
        <v>19</v>
      </c>
      <c r="E18" s="48" t="s">
        <v>66</v>
      </c>
      <c r="F18" s="64" t="s">
        <v>118</v>
      </c>
      <c r="G18" s="47" t="s">
        <v>16</v>
      </c>
      <c r="H18" s="47" t="s">
        <v>119</v>
      </c>
      <c r="I18" s="50">
        <v>149</v>
      </c>
      <c r="J18" s="51">
        <v>19.11</v>
      </c>
      <c r="K18" s="52">
        <v>0.32101851851851854</v>
      </c>
      <c r="L18" s="53">
        <v>73</v>
      </c>
      <c r="M18" s="52">
        <v>0.4166666666666667</v>
      </c>
      <c r="N18" s="51">
        <f t="shared" si="1"/>
        <v>14.899999999999999</v>
      </c>
    </row>
    <row r="19" spans="1:14" s="57" customFormat="1" ht="12.75">
      <c r="A19" s="47" t="s">
        <v>86</v>
      </c>
      <c r="B19" s="47" t="s">
        <v>46</v>
      </c>
      <c r="C19" s="66">
        <v>37374</v>
      </c>
      <c r="D19" s="67">
        <v>10</v>
      </c>
      <c r="E19" s="66"/>
      <c r="F19" s="34"/>
      <c r="G19" s="68"/>
      <c r="H19" s="68"/>
      <c r="I19" s="69">
        <v>22</v>
      </c>
      <c r="J19" s="70">
        <v>21</v>
      </c>
      <c r="K19" s="71">
        <v>0.043645833333333335</v>
      </c>
      <c r="L19" s="72">
        <v>53</v>
      </c>
      <c r="M19" s="71"/>
      <c r="N19" s="51"/>
    </row>
    <row r="20" spans="1:14" s="57" customFormat="1" ht="12.75">
      <c r="A20" s="47" t="s">
        <v>86</v>
      </c>
      <c r="B20" s="47" t="s">
        <v>47</v>
      </c>
      <c r="C20" s="66">
        <v>37377</v>
      </c>
      <c r="D20" s="67">
        <v>18</v>
      </c>
      <c r="E20" s="66"/>
      <c r="F20" s="34"/>
      <c r="G20" s="68"/>
      <c r="H20" s="68"/>
      <c r="I20" s="69">
        <v>146</v>
      </c>
      <c r="J20" s="70">
        <v>20.35</v>
      </c>
      <c r="K20" s="71">
        <v>0.29791666666666666</v>
      </c>
      <c r="L20" s="72">
        <v>70</v>
      </c>
      <c r="M20" s="71"/>
      <c r="N20" s="51"/>
    </row>
    <row r="21" spans="1:14" s="57" customFormat="1" ht="12.75">
      <c r="A21" s="47" t="s">
        <v>86</v>
      </c>
      <c r="B21" s="47" t="s">
        <v>47</v>
      </c>
      <c r="C21" s="66">
        <v>37379</v>
      </c>
      <c r="D21" s="67">
        <v>22</v>
      </c>
      <c r="E21" s="66"/>
      <c r="F21" s="33"/>
      <c r="G21" s="68"/>
      <c r="H21" s="68"/>
      <c r="I21" s="69">
        <v>115</v>
      </c>
      <c r="J21" s="70">
        <v>19.09</v>
      </c>
      <c r="K21" s="71">
        <v>0.2514351851851852</v>
      </c>
      <c r="L21" s="72">
        <v>69</v>
      </c>
      <c r="M21" s="71"/>
      <c r="N21" s="51"/>
    </row>
    <row r="22" spans="1:17" s="57" customFormat="1" ht="12.75">
      <c r="A22" s="47" t="s">
        <v>86</v>
      </c>
      <c r="B22" s="47" t="s">
        <v>47</v>
      </c>
      <c r="C22" s="66">
        <v>37386</v>
      </c>
      <c r="D22" s="67">
        <v>17</v>
      </c>
      <c r="E22" s="66"/>
      <c r="F22" s="33"/>
      <c r="G22" s="68"/>
      <c r="H22" s="68"/>
      <c r="I22" s="69">
        <v>80</v>
      </c>
      <c r="J22" s="70">
        <v>20</v>
      </c>
      <c r="K22" s="71">
        <v>0.16666666666666666</v>
      </c>
      <c r="L22" s="72">
        <v>60</v>
      </c>
      <c r="M22" s="71"/>
      <c r="N22" s="51"/>
      <c r="O22" s="93" t="s">
        <v>63</v>
      </c>
      <c r="P22" s="94"/>
      <c r="Q22"/>
    </row>
    <row r="23" spans="1:17" s="57" customFormat="1" ht="12.75">
      <c r="A23" s="47" t="s">
        <v>86</v>
      </c>
      <c r="B23" s="47" t="s">
        <v>47</v>
      </c>
      <c r="C23" s="66">
        <v>37393</v>
      </c>
      <c r="D23" s="67">
        <v>22</v>
      </c>
      <c r="E23" s="66" t="s">
        <v>90</v>
      </c>
      <c r="F23" s="65" t="s">
        <v>120</v>
      </c>
      <c r="G23" s="68" t="s">
        <v>16</v>
      </c>
      <c r="H23" s="68" t="s">
        <v>119</v>
      </c>
      <c r="I23" s="69">
        <v>160</v>
      </c>
      <c r="J23" s="70">
        <v>19.95</v>
      </c>
      <c r="K23" s="71">
        <v>0.33416666666666667</v>
      </c>
      <c r="L23" s="72">
        <v>70</v>
      </c>
      <c r="M23" s="71"/>
      <c r="N23" s="51"/>
      <c r="O23" s="45" t="s">
        <v>13</v>
      </c>
      <c r="P23" s="41">
        <f>SUM(I:I)</f>
        <v>5388.37</v>
      </c>
      <c r="Q23"/>
    </row>
    <row r="24" spans="1:17" s="57" customFormat="1" ht="12.75">
      <c r="A24" s="47" t="s">
        <v>86</v>
      </c>
      <c r="B24" s="47" t="s">
        <v>47</v>
      </c>
      <c r="C24" s="66">
        <v>37401</v>
      </c>
      <c r="D24" s="67">
        <v>20</v>
      </c>
      <c r="E24" s="66"/>
      <c r="F24" s="34"/>
      <c r="G24" s="68"/>
      <c r="H24" s="68"/>
      <c r="I24" s="69">
        <v>24</v>
      </c>
      <c r="J24" s="70">
        <v>24</v>
      </c>
      <c r="K24" s="71"/>
      <c r="L24" s="72">
        <v>53</v>
      </c>
      <c r="M24" s="71"/>
      <c r="N24" s="51"/>
      <c r="O24" s="59" t="s">
        <v>86</v>
      </c>
      <c r="P24" s="41">
        <f>SUMIF(A:A,"silnička",I:I)</f>
        <v>5388.37</v>
      </c>
      <c r="Q24"/>
    </row>
    <row r="25" spans="1:17" s="57" customFormat="1" ht="12.75">
      <c r="A25" s="47" t="s">
        <v>86</v>
      </c>
      <c r="B25" s="47" t="s">
        <v>47</v>
      </c>
      <c r="C25" s="66">
        <v>37407</v>
      </c>
      <c r="D25" s="67">
        <v>20</v>
      </c>
      <c r="E25" s="66"/>
      <c r="F25" s="34"/>
      <c r="G25" s="68"/>
      <c r="H25" s="68"/>
      <c r="I25" s="69">
        <v>113</v>
      </c>
      <c r="J25" s="70">
        <v>21.6</v>
      </c>
      <c r="K25" s="71">
        <v>0.21025462962962962</v>
      </c>
      <c r="L25" s="72">
        <v>71</v>
      </c>
      <c r="M25" s="71"/>
      <c r="N25" s="51"/>
      <c r="O25" s="59" t="s">
        <v>12</v>
      </c>
      <c r="P25" s="41">
        <f>SUMIF(A:A,"horák",I:I)</f>
        <v>0</v>
      </c>
      <c r="Q25"/>
    </row>
    <row r="26" spans="1:17" s="57" customFormat="1" ht="12.75">
      <c r="A26" s="47" t="s">
        <v>86</v>
      </c>
      <c r="B26" s="47" t="s">
        <v>48</v>
      </c>
      <c r="C26" s="66">
        <v>37408</v>
      </c>
      <c r="D26" s="67">
        <v>18</v>
      </c>
      <c r="E26" s="66"/>
      <c r="F26" s="34"/>
      <c r="G26" s="68"/>
      <c r="H26" s="68"/>
      <c r="I26" s="69">
        <v>84</v>
      </c>
      <c r="J26" s="70">
        <v>19.5</v>
      </c>
      <c r="K26" s="71">
        <v>0.17469907407407406</v>
      </c>
      <c r="L26" s="72">
        <v>73</v>
      </c>
      <c r="M26" s="71"/>
      <c r="N26" s="51"/>
      <c r="O26" s="45" t="s">
        <v>37</v>
      </c>
      <c r="P26" s="42">
        <f>AVERAGE(J:J)</f>
        <v>20.93888888888889</v>
      </c>
      <c r="Q26"/>
    </row>
    <row r="27" spans="1:17" s="57" customFormat="1" ht="12.75">
      <c r="A27" s="47" t="s">
        <v>86</v>
      </c>
      <c r="B27" s="47" t="s">
        <v>48</v>
      </c>
      <c r="C27" s="66">
        <v>37414</v>
      </c>
      <c r="D27" s="67">
        <v>17</v>
      </c>
      <c r="E27" s="66"/>
      <c r="F27" s="34"/>
      <c r="G27" s="68"/>
      <c r="H27" s="68"/>
      <c r="I27" s="69">
        <v>101</v>
      </c>
      <c r="J27" s="70">
        <v>21.53</v>
      </c>
      <c r="K27" s="71">
        <v>0.1910185185185185</v>
      </c>
      <c r="L27" s="72">
        <v>73</v>
      </c>
      <c r="M27" s="71"/>
      <c r="N27" s="51"/>
      <c r="O27" s="59" t="s">
        <v>86</v>
      </c>
      <c r="P27" s="42">
        <f>(SUMIF(A:A,"silnička",J:J))/COUNTIF(A:A,"silnička")</f>
        <v>20.19107142857143</v>
      </c>
      <c r="Q27"/>
    </row>
    <row r="28" spans="1:17" s="57" customFormat="1" ht="12.75">
      <c r="A28" s="47" t="s">
        <v>86</v>
      </c>
      <c r="B28" s="47" t="s">
        <v>48</v>
      </c>
      <c r="C28" s="66">
        <v>37421</v>
      </c>
      <c r="D28" s="67">
        <v>20</v>
      </c>
      <c r="E28" s="48" t="s">
        <v>66</v>
      </c>
      <c r="F28" s="34" t="s">
        <v>121</v>
      </c>
      <c r="G28" s="68" t="s">
        <v>16</v>
      </c>
      <c r="H28" s="68" t="s">
        <v>122</v>
      </c>
      <c r="I28" s="69">
        <v>200</v>
      </c>
      <c r="J28" s="70">
        <v>18.77</v>
      </c>
      <c r="K28" s="71">
        <v>0.4341319444444445</v>
      </c>
      <c r="L28" s="72">
        <v>69</v>
      </c>
      <c r="M28" s="71">
        <v>0.5625</v>
      </c>
      <c r="N28" s="51">
        <f>(I28/M28)/24</f>
        <v>14.814814814814815</v>
      </c>
      <c r="O28" s="59" t="s">
        <v>12</v>
      </c>
      <c r="P28" s="42" t="e">
        <f>(SUMIF(A:A,"horák",J:J))/COUNTIF(A:A,"horák")</f>
        <v>#DIV/0!</v>
      </c>
      <c r="Q28"/>
    </row>
    <row r="29" spans="1:17" s="57" customFormat="1" ht="12.75">
      <c r="A29" s="47" t="s">
        <v>86</v>
      </c>
      <c r="B29" s="47" t="s">
        <v>48</v>
      </c>
      <c r="C29" s="66">
        <v>37426</v>
      </c>
      <c r="D29" s="67">
        <v>33</v>
      </c>
      <c r="E29" s="66" t="s">
        <v>123</v>
      </c>
      <c r="F29" s="34" t="s">
        <v>124</v>
      </c>
      <c r="G29" s="68" t="s">
        <v>16</v>
      </c>
      <c r="H29" s="68" t="s">
        <v>70</v>
      </c>
      <c r="I29" s="69">
        <v>126.62</v>
      </c>
      <c r="J29" s="70">
        <v>20.73</v>
      </c>
      <c r="K29" s="71">
        <v>0.2544328703703704</v>
      </c>
      <c r="L29" s="72">
        <v>73</v>
      </c>
      <c r="M29" s="71">
        <v>0.3229166666666667</v>
      </c>
      <c r="N29" s="51">
        <f>(I29/M29)/24</f>
        <v>16.338064516129034</v>
      </c>
      <c r="O29" s="45" t="s">
        <v>4</v>
      </c>
      <c r="P29" s="43">
        <f>SUM(K:K)</f>
        <v>11.859722222222222</v>
      </c>
      <c r="Q29"/>
    </row>
    <row r="30" spans="1:17" s="57" customFormat="1" ht="12.75">
      <c r="A30" s="47" t="s">
        <v>86</v>
      </c>
      <c r="B30" s="47" t="s">
        <v>48</v>
      </c>
      <c r="C30" s="66">
        <v>37437</v>
      </c>
      <c r="D30" s="67">
        <v>22</v>
      </c>
      <c r="E30" s="66"/>
      <c r="F30" s="34"/>
      <c r="G30" s="68"/>
      <c r="H30" s="68"/>
      <c r="I30" s="69">
        <v>111</v>
      </c>
      <c r="J30" s="70">
        <v>21.2</v>
      </c>
      <c r="K30" s="71">
        <v>0.2167013888888889</v>
      </c>
      <c r="L30" s="72">
        <v>73</v>
      </c>
      <c r="M30" s="71"/>
      <c r="N30" s="51"/>
      <c r="O30" s="59" t="s">
        <v>86</v>
      </c>
      <c r="P30" s="43">
        <f>SUMIF(A:A,"silnička",K:K)</f>
        <v>11.859722222222222</v>
      </c>
      <c r="Q30"/>
    </row>
    <row r="31" spans="1:16" ht="12.75">
      <c r="A31" s="47" t="s">
        <v>86</v>
      </c>
      <c r="B31" s="47" t="s">
        <v>49</v>
      </c>
      <c r="C31" s="48">
        <v>37442</v>
      </c>
      <c r="D31" s="49">
        <v>25</v>
      </c>
      <c r="F31" s="64"/>
      <c r="I31" s="50">
        <v>153</v>
      </c>
      <c r="J31" s="51">
        <v>19.4</v>
      </c>
      <c r="K31" s="52">
        <v>0.3299884259259259</v>
      </c>
      <c r="L31" s="53">
        <v>71</v>
      </c>
      <c r="M31" s="52"/>
      <c r="N31" s="51"/>
      <c r="O31" s="59" t="s">
        <v>12</v>
      </c>
      <c r="P31" s="43">
        <f>SUMIF(A:A,"horák",K:K)</f>
        <v>0</v>
      </c>
    </row>
    <row r="32" spans="1:16" ht="12.75">
      <c r="A32" s="47" t="s">
        <v>86</v>
      </c>
      <c r="B32" s="47" t="s">
        <v>49</v>
      </c>
      <c r="C32" s="48">
        <v>37444</v>
      </c>
      <c r="D32" s="49">
        <v>25</v>
      </c>
      <c r="F32" s="64"/>
      <c r="I32" s="50">
        <v>132</v>
      </c>
      <c r="J32" s="51">
        <v>20.9</v>
      </c>
      <c r="K32" s="52">
        <v>0.2631597222222222</v>
      </c>
      <c r="L32" s="53">
        <v>72</v>
      </c>
      <c r="M32" s="52"/>
      <c r="N32" s="51"/>
      <c r="O32" s="45" t="s">
        <v>5</v>
      </c>
      <c r="P32" s="44">
        <f>MAX(L:L)</f>
        <v>79</v>
      </c>
    </row>
    <row r="33" spans="1:16" ht="12.75">
      <c r="A33" s="73" t="s">
        <v>86</v>
      </c>
      <c r="B33" s="73" t="s">
        <v>49</v>
      </c>
      <c r="C33" s="74">
        <v>37450</v>
      </c>
      <c r="D33" s="75">
        <v>25</v>
      </c>
      <c r="E33" s="74"/>
      <c r="F33" s="76"/>
      <c r="G33" s="73" t="s">
        <v>125</v>
      </c>
      <c r="H33" s="73" t="s">
        <v>126</v>
      </c>
      <c r="I33" s="77">
        <v>173</v>
      </c>
      <c r="J33" s="78">
        <v>23</v>
      </c>
      <c r="K33" s="79">
        <v>0.31263888888888886</v>
      </c>
      <c r="L33" s="80">
        <v>72</v>
      </c>
      <c r="M33" s="79"/>
      <c r="N33" s="78"/>
      <c r="O33" s="45" t="s">
        <v>14</v>
      </c>
      <c r="P33" s="46">
        <f>AVERAGE(D:D)</f>
        <v>17.49318181818182</v>
      </c>
    </row>
    <row r="34" spans="1:16" ht="12.75">
      <c r="A34" s="47" t="s">
        <v>86</v>
      </c>
      <c r="B34" s="47" t="s">
        <v>49</v>
      </c>
      <c r="C34" s="48">
        <v>37456</v>
      </c>
      <c r="D34" s="49">
        <v>20</v>
      </c>
      <c r="E34" s="66" t="s">
        <v>66</v>
      </c>
      <c r="F34" s="33" t="s">
        <v>127</v>
      </c>
      <c r="G34" s="68" t="s">
        <v>29</v>
      </c>
      <c r="H34" s="68" t="s">
        <v>93</v>
      </c>
      <c r="I34" s="50">
        <v>193.5</v>
      </c>
      <c r="J34" s="51">
        <v>19.97</v>
      </c>
      <c r="K34" s="52">
        <v>0.40387731481481487</v>
      </c>
      <c r="L34" s="53">
        <v>79</v>
      </c>
      <c r="M34" s="71">
        <v>0.5</v>
      </c>
      <c r="N34" s="51">
        <f>(I34/M34)/24</f>
        <v>16.125</v>
      </c>
      <c r="O34" s="59" t="s">
        <v>86</v>
      </c>
      <c r="P34" s="46">
        <f>(SUMIF(A:A,"silnička",D:D))/COUNTIF(A:A,"silnička")</f>
        <v>13.744642857142859</v>
      </c>
    </row>
    <row r="35" spans="1:16" ht="12.75">
      <c r="A35" s="47" t="s">
        <v>86</v>
      </c>
      <c r="B35" s="47" t="s">
        <v>49</v>
      </c>
      <c r="C35" s="48">
        <v>37463</v>
      </c>
      <c r="D35" s="49">
        <v>18</v>
      </c>
      <c r="F35" s="65"/>
      <c r="I35" s="50">
        <v>152</v>
      </c>
      <c r="J35" s="51">
        <v>21.18</v>
      </c>
      <c r="K35" s="52">
        <v>0.2996875</v>
      </c>
      <c r="L35" s="53">
        <v>72</v>
      </c>
      <c r="M35" s="52"/>
      <c r="N35" s="51"/>
      <c r="O35" s="59" t="s">
        <v>12</v>
      </c>
      <c r="P35" s="46" t="e">
        <f>(SUMIF(A:A,"horák",D:D))/COUNTIF(A:A,"horák")</f>
        <v>#DIV/0!</v>
      </c>
    </row>
    <row r="36" spans="1:16" ht="12.75">
      <c r="A36" s="73" t="s">
        <v>86</v>
      </c>
      <c r="B36" s="73" t="s">
        <v>50</v>
      </c>
      <c r="C36" s="74">
        <v>37471</v>
      </c>
      <c r="D36" s="75">
        <v>22</v>
      </c>
      <c r="E36" s="74" t="s">
        <v>90</v>
      </c>
      <c r="F36" s="76" t="s">
        <v>128</v>
      </c>
      <c r="G36" s="73" t="s">
        <v>129</v>
      </c>
      <c r="H36" s="73" t="s">
        <v>130</v>
      </c>
      <c r="I36" s="77">
        <v>56.1</v>
      </c>
      <c r="J36" s="78">
        <v>25.1</v>
      </c>
      <c r="K36" s="79">
        <v>0.093125</v>
      </c>
      <c r="L36" s="80">
        <v>65</v>
      </c>
      <c r="M36" s="79"/>
      <c r="N36" s="78"/>
      <c r="O36" s="45" t="s">
        <v>30</v>
      </c>
      <c r="P36" s="43">
        <f>SUM(M:M)</f>
        <v>5.3523958333333335</v>
      </c>
    </row>
    <row r="37" spans="1:16" ht="12.75">
      <c r="A37" s="47" t="s">
        <v>86</v>
      </c>
      <c r="B37" s="68" t="s">
        <v>50</v>
      </c>
      <c r="C37" s="48">
        <v>37477</v>
      </c>
      <c r="D37" s="49">
        <v>30</v>
      </c>
      <c r="F37" s="64"/>
      <c r="G37" s="47" t="s">
        <v>24</v>
      </c>
      <c r="H37" s="47" t="s">
        <v>131</v>
      </c>
      <c r="I37" s="50">
        <v>41.3</v>
      </c>
      <c r="J37" s="51">
        <v>22</v>
      </c>
      <c r="L37" s="53">
        <v>62</v>
      </c>
      <c r="M37" s="52"/>
      <c r="N37" s="51"/>
      <c r="O37" s="59" t="s">
        <v>86</v>
      </c>
      <c r="P37" s="43">
        <f>SUMIF(A:A,"silnička",M:M)</f>
        <v>5.3523958333333335</v>
      </c>
    </row>
    <row r="38" spans="1:16" ht="12.75">
      <c r="A38" s="47" t="s">
        <v>86</v>
      </c>
      <c r="B38" s="68" t="s">
        <v>50</v>
      </c>
      <c r="C38" s="48">
        <v>37485</v>
      </c>
      <c r="D38" s="49">
        <v>25</v>
      </c>
      <c r="F38" s="64"/>
      <c r="I38" s="50">
        <v>197.3</v>
      </c>
      <c r="J38" s="51">
        <v>21.9</v>
      </c>
      <c r="K38" s="52">
        <v>0.37576388888888884</v>
      </c>
      <c r="L38" s="53">
        <v>66</v>
      </c>
      <c r="M38" s="52"/>
      <c r="N38" s="51"/>
      <c r="O38" s="59" t="s">
        <v>12</v>
      </c>
      <c r="P38" s="43">
        <f>SUMIF(A:A,"horák",M:M)</f>
        <v>0</v>
      </c>
    </row>
    <row r="39" spans="1:16" ht="12.75">
      <c r="A39" s="47" t="s">
        <v>86</v>
      </c>
      <c r="B39" s="68" t="s">
        <v>50</v>
      </c>
      <c r="C39" s="48">
        <v>37492</v>
      </c>
      <c r="D39" s="49">
        <v>30</v>
      </c>
      <c r="F39" s="64"/>
      <c r="I39" s="50">
        <v>53.6</v>
      </c>
      <c r="J39" s="51">
        <v>19.8</v>
      </c>
      <c r="K39" s="52">
        <v>0.11138888888888888</v>
      </c>
      <c r="M39" s="52"/>
      <c r="N39" s="51"/>
      <c r="O39" s="45" t="s">
        <v>38</v>
      </c>
      <c r="P39" s="42">
        <f>AVERAGE(N:N)</f>
        <v>16.751828007604352</v>
      </c>
    </row>
    <row r="40" spans="1:16" ht="12.75">
      <c r="A40" s="47" t="s">
        <v>86</v>
      </c>
      <c r="B40" s="68" t="s">
        <v>50</v>
      </c>
      <c r="C40" s="48">
        <v>37494</v>
      </c>
      <c r="D40" s="49">
        <v>30</v>
      </c>
      <c r="F40" s="64"/>
      <c r="I40" s="50">
        <v>24.85</v>
      </c>
      <c r="J40" s="51">
        <v>24.9</v>
      </c>
      <c r="K40" s="52">
        <v>0.041574074074074076</v>
      </c>
      <c r="L40" s="53">
        <v>62</v>
      </c>
      <c r="M40" s="52"/>
      <c r="N40" s="51"/>
      <c r="O40" s="59" t="s">
        <v>86</v>
      </c>
      <c r="P40" s="42">
        <f>(SUMIF(A:A,"silnička",N:N))/COUNTIF(A:A,"silnička")</f>
        <v>5.9827957170015535</v>
      </c>
    </row>
    <row r="41" spans="1:16" ht="12.75">
      <c r="A41" s="47" t="s">
        <v>86</v>
      </c>
      <c r="B41" s="68" t="s">
        <v>50</v>
      </c>
      <c r="C41" s="48">
        <v>37497</v>
      </c>
      <c r="D41" s="49">
        <v>25</v>
      </c>
      <c r="F41" s="64"/>
      <c r="I41" s="50">
        <v>210.07</v>
      </c>
      <c r="J41" s="51">
        <v>20.4</v>
      </c>
      <c r="K41" s="52">
        <v>0.42965277777777783</v>
      </c>
      <c r="L41" s="53">
        <v>77</v>
      </c>
      <c r="M41" s="52"/>
      <c r="N41" s="51"/>
      <c r="O41" s="59" t="s">
        <v>12</v>
      </c>
      <c r="P41" s="42" t="e">
        <f>(SUMIF(A:A,"horák",N:N))/COUNTIF(A:A,"horák")</f>
        <v>#DIV/0!</v>
      </c>
    </row>
    <row r="42" spans="1:14" ht="12.75">
      <c r="A42" s="47" t="s">
        <v>86</v>
      </c>
      <c r="B42" s="68" t="s">
        <v>51</v>
      </c>
      <c r="C42" s="48">
        <v>37503</v>
      </c>
      <c r="D42" s="49">
        <v>25</v>
      </c>
      <c r="F42" s="64"/>
      <c r="I42" s="50">
        <v>55.85</v>
      </c>
      <c r="J42" s="51">
        <v>20.8</v>
      </c>
      <c r="K42" s="52">
        <v>0.11752314814814814</v>
      </c>
      <c r="L42" s="53">
        <v>73</v>
      </c>
      <c r="M42" s="52"/>
      <c r="N42" s="51"/>
    </row>
    <row r="43" spans="1:17" ht="12.75">
      <c r="A43" s="73" t="s">
        <v>86</v>
      </c>
      <c r="B43" s="73" t="s">
        <v>51</v>
      </c>
      <c r="C43" s="74">
        <v>37506</v>
      </c>
      <c r="D43" s="75">
        <v>23</v>
      </c>
      <c r="E43" s="74"/>
      <c r="F43" s="76"/>
      <c r="G43" s="73" t="s">
        <v>29</v>
      </c>
      <c r="H43" s="73" t="s">
        <v>93</v>
      </c>
      <c r="I43" s="77">
        <v>165.13</v>
      </c>
      <c r="J43" s="78">
        <v>23.6</v>
      </c>
      <c r="K43" s="79">
        <v>0.29153935185185187</v>
      </c>
      <c r="L43" s="80">
        <v>78</v>
      </c>
      <c r="M43" s="79"/>
      <c r="N43" s="78"/>
      <c r="O43" s="38" t="s">
        <v>82</v>
      </c>
      <c r="P43" s="38" t="s">
        <v>83</v>
      </c>
      <c r="Q43" s="38" t="s">
        <v>84</v>
      </c>
    </row>
    <row r="44" spans="1:17" ht="12.75">
      <c r="A44" s="47" t="s">
        <v>86</v>
      </c>
      <c r="B44" s="68" t="s">
        <v>51</v>
      </c>
      <c r="C44" s="48">
        <v>37527</v>
      </c>
      <c r="D44" s="49">
        <v>12</v>
      </c>
      <c r="I44" s="50">
        <v>24.29</v>
      </c>
      <c r="J44" s="51">
        <v>22.5</v>
      </c>
      <c r="K44" s="52">
        <v>0.0449074074074074</v>
      </c>
      <c r="L44" s="53">
        <v>51.5</v>
      </c>
      <c r="M44" s="52"/>
      <c r="N44" s="51"/>
      <c r="O44" s="45" t="s">
        <v>43</v>
      </c>
      <c r="P44" s="41">
        <f>SUMIF(B:B,"leden",I:I)</f>
        <v>0</v>
      </c>
      <c r="Q44" s="41">
        <f>P44</f>
        <v>0</v>
      </c>
    </row>
    <row r="45" spans="1:17" ht="12.75">
      <c r="A45" s="47" t="s">
        <v>86</v>
      </c>
      <c r="B45" s="68" t="s">
        <v>51</v>
      </c>
      <c r="C45" s="48">
        <v>37528</v>
      </c>
      <c r="D45" s="49">
        <v>15</v>
      </c>
      <c r="F45" s="64"/>
      <c r="I45" s="50">
        <v>144.12</v>
      </c>
      <c r="J45" s="51">
        <v>21.7</v>
      </c>
      <c r="K45" s="52">
        <v>0.2758217592592593</v>
      </c>
      <c r="L45" s="53">
        <v>69</v>
      </c>
      <c r="M45" s="52"/>
      <c r="N45" s="51"/>
      <c r="O45" s="45" t="s">
        <v>44</v>
      </c>
      <c r="P45" s="41">
        <f>SUMIF(B:B,"únor",I:I)</f>
        <v>344.24</v>
      </c>
      <c r="Q45" s="41">
        <f>Q44+P45</f>
        <v>344.24</v>
      </c>
    </row>
    <row r="46" spans="1:17" ht="12.75">
      <c r="A46" s="47" t="s">
        <v>86</v>
      </c>
      <c r="B46" s="68" t="s">
        <v>52</v>
      </c>
      <c r="C46" s="48">
        <v>37547</v>
      </c>
      <c r="F46" s="64"/>
      <c r="I46" s="50">
        <v>58.67</v>
      </c>
      <c r="J46" s="51">
        <v>20</v>
      </c>
      <c r="K46" s="52">
        <v>0.12207175925925927</v>
      </c>
      <c r="L46" s="53">
        <v>55</v>
      </c>
      <c r="M46" s="52"/>
      <c r="N46" s="51"/>
      <c r="O46" s="45" t="s">
        <v>45</v>
      </c>
      <c r="P46" s="41">
        <f>SUMIF(B:B,"březen",I:I)</f>
        <v>433.34000000000003</v>
      </c>
      <c r="Q46" s="41">
        <f aca="true" t="shared" si="2" ref="Q46:Q55">Q45+P46</f>
        <v>777.58</v>
      </c>
    </row>
    <row r="47" spans="1:17" ht="12.75">
      <c r="A47" s="47" t="s">
        <v>86</v>
      </c>
      <c r="B47" s="68" t="s">
        <v>52</v>
      </c>
      <c r="C47" s="48">
        <v>37549</v>
      </c>
      <c r="F47" s="64"/>
      <c r="I47" s="50">
        <v>92.19</v>
      </c>
      <c r="J47" s="51">
        <v>21.65</v>
      </c>
      <c r="K47" s="52">
        <v>0.17743055555555556</v>
      </c>
      <c r="L47" s="53">
        <v>66</v>
      </c>
      <c r="M47" s="52"/>
      <c r="N47" s="51"/>
      <c r="O47" s="45" t="s">
        <v>46</v>
      </c>
      <c r="P47" s="41">
        <f>SUMIF(B:B,"duben",I:I)</f>
        <v>715.61</v>
      </c>
      <c r="Q47" s="41">
        <f t="shared" si="2"/>
        <v>1493.19</v>
      </c>
    </row>
    <row r="48" spans="1:17" ht="12.75">
      <c r="A48" s="47" t="s">
        <v>86</v>
      </c>
      <c r="B48" s="68" t="s">
        <v>52</v>
      </c>
      <c r="C48" s="48">
        <v>37554</v>
      </c>
      <c r="F48" s="64"/>
      <c r="I48" s="50">
        <v>60</v>
      </c>
      <c r="J48" s="51">
        <v>21</v>
      </c>
      <c r="K48" s="52">
        <v>0.11288194444444444</v>
      </c>
      <c r="L48" s="53">
        <v>60</v>
      </c>
      <c r="M48" s="52"/>
      <c r="N48" s="51"/>
      <c r="O48" s="45" t="s">
        <v>47</v>
      </c>
      <c r="P48" s="41">
        <f>SUMIF(B:B,"květen",I:I)</f>
        <v>638</v>
      </c>
      <c r="Q48" s="41">
        <f t="shared" si="2"/>
        <v>2131.19</v>
      </c>
    </row>
    <row r="49" spans="1:17" ht="12.75">
      <c r="A49" s="47" t="s">
        <v>86</v>
      </c>
      <c r="B49" s="68" t="s">
        <v>52</v>
      </c>
      <c r="C49" s="48">
        <v>37558</v>
      </c>
      <c r="F49" s="64"/>
      <c r="I49" s="50">
        <v>76.3</v>
      </c>
      <c r="J49" s="51">
        <v>22.6</v>
      </c>
      <c r="K49" s="52">
        <v>0.1404050925925926</v>
      </c>
      <c r="L49" s="53">
        <v>56</v>
      </c>
      <c r="M49" s="52"/>
      <c r="N49" s="51"/>
      <c r="O49" s="45" t="s">
        <v>48</v>
      </c>
      <c r="P49" s="41">
        <f>SUMIF(B:B,"červen",I:I)</f>
        <v>622.62</v>
      </c>
      <c r="Q49" s="41">
        <f t="shared" si="2"/>
        <v>2753.81</v>
      </c>
    </row>
    <row r="50" spans="1:17" ht="12.75">
      <c r="A50" s="47" t="s">
        <v>86</v>
      </c>
      <c r="B50" s="68" t="s">
        <v>53</v>
      </c>
      <c r="C50" s="48">
        <v>37561</v>
      </c>
      <c r="F50" s="64"/>
      <c r="I50" s="50">
        <v>61</v>
      </c>
      <c r="J50" s="51">
        <v>20.3</v>
      </c>
      <c r="K50" s="52">
        <v>0.12010416666666668</v>
      </c>
      <c r="L50" s="53">
        <v>56.5</v>
      </c>
      <c r="M50" s="52"/>
      <c r="N50" s="51"/>
      <c r="O50" s="45" t="s">
        <v>49</v>
      </c>
      <c r="P50" s="41">
        <f>SUMIF(B:B,"červenec",I:I)</f>
        <v>803.5</v>
      </c>
      <c r="Q50" s="41">
        <f t="shared" si="2"/>
        <v>3557.31</v>
      </c>
    </row>
    <row r="51" spans="1:17" ht="12.75">
      <c r="A51" s="47" t="s">
        <v>86</v>
      </c>
      <c r="B51" s="68" t="s">
        <v>53</v>
      </c>
      <c r="C51" s="48">
        <v>37563</v>
      </c>
      <c r="F51" s="64"/>
      <c r="I51" s="50">
        <v>42</v>
      </c>
      <c r="J51" s="51">
        <v>24.3</v>
      </c>
      <c r="K51" s="52">
        <v>0.06563657407407407</v>
      </c>
      <c r="L51" s="53">
        <v>54.5</v>
      </c>
      <c r="M51" s="52"/>
      <c r="N51" s="51"/>
      <c r="O51" s="45" t="s">
        <v>50</v>
      </c>
      <c r="P51" s="41">
        <f>SUMIF(B:B,"srpen",I:I)</f>
        <v>583.22</v>
      </c>
      <c r="Q51" s="41">
        <f t="shared" si="2"/>
        <v>4140.53</v>
      </c>
    </row>
    <row r="52" spans="1:17" ht="12.75">
      <c r="A52" s="47" t="s">
        <v>86</v>
      </c>
      <c r="B52" s="68" t="s">
        <v>53</v>
      </c>
      <c r="C52" s="48">
        <v>37568</v>
      </c>
      <c r="F52" s="64"/>
      <c r="I52" s="50">
        <v>60</v>
      </c>
      <c r="J52" s="51">
        <v>20.5</v>
      </c>
      <c r="K52" s="52">
        <v>0.11869212962962962</v>
      </c>
      <c r="L52" s="53">
        <v>56.5</v>
      </c>
      <c r="M52" s="52"/>
      <c r="N52" s="51"/>
      <c r="O52" s="45" t="s">
        <v>51</v>
      </c>
      <c r="P52" s="41">
        <f>SUMIF(B:B,"září",I:I)</f>
        <v>389.39</v>
      </c>
      <c r="Q52" s="41">
        <f t="shared" si="2"/>
        <v>4529.92</v>
      </c>
    </row>
    <row r="53" spans="1:17" ht="12.75">
      <c r="A53" s="47" t="s">
        <v>86</v>
      </c>
      <c r="B53" s="68" t="s">
        <v>53</v>
      </c>
      <c r="C53" s="48">
        <v>37573</v>
      </c>
      <c r="F53" s="64"/>
      <c r="I53" s="50">
        <v>38.39</v>
      </c>
      <c r="J53" s="51">
        <v>24.2</v>
      </c>
      <c r="K53" s="52">
        <v>0.06677083333333333</v>
      </c>
      <c r="L53" s="53">
        <v>62</v>
      </c>
      <c r="M53" s="52"/>
      <c r="N53" s="51"/>
      <c r="O53" s="45" t="s">
        <v>52</v>
      </c>
      <c r="P53" s="41">
        <f>SUMIF(B:B,"říjen",I:I)</f>
        <v>287.16</v>
      </c>
      <c r="Q53" s="41">
        <f t="shared" si="2"/>
        <v>4817.08</v>
      </c>
    </row>
    <row r="54" spans="1:17" ht="12.75">
      <c r="A54" s="47" t="s">
        <v>86</v>
      </c>
      <c r="B54" s="68" t="s">
        <v>53</v>
      </c>
      <c r="C54" s="48">
        <v>37575</v>
      </c>
      <c r="F54" s="64"/>
      <c r="I54" s="50">
        <v>89</v>
      </c>
      <c r="J54" s="51">
        <v>20.4</v>
      </c>
      <c r="K54" s="52">
        <v>0.1806712962962963</v>
      </c>
      <c r="L54" s="53">
        <v>66</v>
      </c>
      <c r="M54" s="52"/>
      <c r="N54" s="51"/>
      <c r="O54" s="45" t="s">
        <v>53</v>
      </c>
      <c r="P54" s="41">
        <f>SUMIF(B:B,"listopad",I:I)</f>
        <v>571.29</v>
      </c>
      <c r="Q54" s="41">
        <f t="shared" si="2"/>
        <v>5388.37</v>
      </c>
    </row>
    <row r="55" spans="1:17" ht="12.75">
      <c r="A55" s="47" t="s">
        <v>86</v>
      </c>
      <c r="B55" s="68" t="s">
        <v>53</v>
      </c>
      <c r="C55" s="48">
        <v>37577</v>
      </c>
      <c r="F55" s="64"/>
      <c r="I55" s="50">
        <v>77.7</v>
      </c>
      <c r="J55" s="51">
        <v>23</v>
      </c>
      <c r="K55" s="52">
        <v>0.14015046296296296</v>
      </c>
      <c r="L55" s="53">
        <v>67</v>
      </c>
      <c r="M55" s="52"/>
      <c r="N55" s="51"/>
      <c r="O55" s="45" t="s">
        <v>54</v>
      </c>
      <c r="P55" s="41">
        <f>SUMIF(B:B,"prosinec",I:I)</f>
        <v>0</v>
      </c>
      <c r="Q55" s="41">
        <f t="shared" si="2"/>
        <v>5388.37</v>
      </c>
    </row>
    <row r="56" spans="1:14" ht="12.75">
      <c r="A56" s="68" t="s">
        <v>86</v>
      </c>
      <c r="B56" s="68" t="s">
        <v>53</v>
      </c>
      <c r="F56" s="64"/>
      <c r="I56" s="50">
        <v>100</v>
      </c>
      <c r="M56" s="52"/>
      <c r="N56" s="51"/>
    </row>
    <row r="57" spans="1:14" ht="12.75">
      <c r="A57" s="68" t="s">
        <v>86</v>
      </c>
      <c r="B57" s="68" t="s">
        <v>53</v>
      </c>
      <c r="F57" s="64"/>
      <c r="I57" s="50">
        <v>103.2</v>
      </c>
      <c r="M57" s="52"/>
      <c r="N57" s="51"/>
    </row>
    <row r="58" spans="6:14" ht="12.75">
      <c r="F58" s="64"/>
      <c r="M58" s="52"/>
      <c r="N58" s="51"/>
    </row>
    <row r="59" spans="6:14" ht="12.75">
      <c r="F59" s="64"/>
      <c r="M59" s="52"/>
      <c r="N59" s="51"/>
    </row>
    <row r="60" spans="6:14" ht="12.75">
      <c r="F60" s="64"/>
      <c r="M60" s="52"/>
      <c r="N60" s="51"/>
    </row>
    <row r="61" spans="6:14" ht="12.75">
      <c r="F61" s="64"/>
      <c r="M61" s="52"/>
      <c r="N61" s="51"/>
    </row>
    <row r="62" spans="6:14" ht="12.75">
      <c r="F62" s="64"/>
      <c r="M62" s="52"/>
      <c r="N62" s="51"/>
    </row>
    <row r="63" ht="12.75">
      <c r="M63" s="52"/>
    </row>
    <row r="64" ht="12.75">
      <c r="M64" s="52"/>
    </row>
    <row r="65" ht="12.75">
      <c r="M65" s="52"/>
    </row>
    <row r="66" ht="12.75">
      <c r="M66" s="52"/>
    </row>
    <row r="67" ht="12.75">
      <c r="M67" s="52"/>
    </row>
    <row r="68" ht="12.75">
      <c r="M68" s="52"/>
    </row>
  </sheetData>
  <autoFilter ref="A1:M35"/>
  <mergeCells count="2">
    <mergeCell ref="O1:P1"/>
    <mergeCell ref="O22:P22"/>
  </mergeCells>
  <hyperlinks>
    <hyperlink ref="F2" location="trasy!AG1" display="032"/>
    <hyperlink ref="F6" location="trasy!AH1" display="033"/>
    <hyperlink ref="F15" location="trasy!AM1" display="038"/>
    <hyperlink ref="F16" location="trasy!AN1" display="040"/>
    <hyperlink ref="F17" location="trasy!AO1" display="041"/>
    <hyperlink ref="F18" location="trasy!AP1" display="041"/>
    <hyperlink ref="F23" location="trasy!AS1" display="045"/>
    <hyperlink ref="F28" location="trasy!AY1" display="051"/>
    <hyperlink ref="F29" location="trasy!AZ1" display="052"/>
    <hyperlink ref="F36" location="trasy!BE1" display="057"/>
    <hyperlink ref="F34" location="trasy!BC1" display="055"/>
  </hyperlinks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9"/>
  <sheetViews>
    <sheetView zoomScale="80" zoomScaleNormal="80" workbookViewId="0" topLeftCell="A1">
      <pane ySplit="1" topLeftCell="BM23" activePane="bottomLeft" state="frozen"/>
      <selection pane="topLeft" activeCell="A1" sqref="A1"/>
      <selection pane="bottomLeft" activeCell="H31" sqref="H31"/>
    </sheetView>
  </sheetViews>
  <sheetFormatPr defaultColWidth="9.00390625" defaultRowHeight="12.75"/>
  <cols>
    <col min="1" max="1" width="7.375" style="47" bestFit="1" customWidth="1"/>
    <col min="2" max="2" width="9.375" style="47" bestFit="1" customWidth="1"/>
    <col min="3" max="3" width="9.25390625" style="87" bestFit="1" customWidth="1"/>
    <col min="4" max="4" width="5.625" style="49" customWidth="1"/>
    <col min="5" max="5" width="14.00390625" style="48" customWidth="1"/>
    <col min="6" max="6" width="8.875" style="47" bestFit="1" customWidth="1"/>
    <col min="7" max="7" width="15.875" style="47" customWidth="1"/>
    <col min="8" max="8" width="10.75390625" style="50" customWidth="1"/>
    <col min="9" max="9" width="12.75390625" style="51" bestFit="1" customWidth="1"/>
    <col min="10" max="10" width="13.00390625" style="52" customWidth="1"/>
    <col min="11" max="11" width="11.625" style="53" bestFit="1" customWidth="1"/>
    <col min="12" max="12" width="13.25390625" style="51" customWidth="1"/>
    <col min="13" max="13" width="15.875" style="47" customWidth="1"/>
    <col min="14" max="14" width="15.75390625" style="0" bestFit="1" customWidth="1"/>
    <col min="15" max="15" width="13.625" style="0" bestFit="1" customWidth="1"/>
    <col min="16" max="16" width="13.125" style="0" bestFit="1" customWidth="1"/>
    <col min="17" max="16384" width="9.625" style="0" customWidth="1"/>
  </cols>
  <sheetData>
    <row r="1" spans="1:13" s="40" customFormat="1" ht="12.75">
      <c r="A1" s="60" t="s">
        <v>11</v>
      </c>
      <c r="B1" s="60" t="s">
        <v>97</v>
      </c>
      <c r="C1" s="85" t="s">
        <v>0</v>
      </c>
      <c r="D1" s="61" t="s">
        <v>8</v>
      </c>
      <c r="E1" s="60" t="s">
        <v>9</v>
      </c>
      <c r="F1" s="63" t="s">
        <v>1</v>
      </c>
      <c r="G1" s="63" t="s">
        <v>2</v>
      </c>
      <c r="H1" s="63" t="s">
        <v>3</v>
      </c>
      <c r="I1" s="63" t="s">
        <v>85</v>
      </c>
      <c r="J1" s="63" t="s">
        <v>4</v>
      </c>
      <c r="K1" s="63" t="s">
        <v>5</v>
      </c>
      <c r="L1" s="63" t="s">
        <v>30</v>
      </c>
      <c r="M1" s="63" t="s">
        <v>38</v>
      </c>
    </row>
    <row r="2" spans="1:13" s="40" customFormat="1" ht="12.75">
      <c r="A2" s="81" t="s">
        <v>86</v>
      </c>
      <c r="B2" s="81" t="s">
        <v>45</v>
      </c>
      <c r="C2" s="86">
        <v>36962</v>
      </c>
      <c r="D2" s="82">
        <v>18</v>
      </c>
      <c r="E2" s="81" t="s">
        <v>61</v>
      </c>
      <c r="F2" s="83" t="s">
        <v>16</v>
      </c>
      <c r="G2" s="83" t="s">
        <v>87</v>
      </c>
      <c r="H2" s="50">
        <v>27.8</v>
      </c>
      <c r="I2" s="51">
        <v>17.5</v>
      </c>
      <c r="J2" s="52">
        <v>0.06305555555555555</v>
      </c>
      <c r="K2" s="53">
        <v>50</v>
      </c>
      <c r="L2" s="83"/>
      <c r="M2" s="83"/>
    </row>
    <row r="3" spans="1:13" s="40" customFormat="1" ht="12.75">
      <c r="A3" s="81" t="s">
        <v>86</v>
      </c>
      <c r="B3" s="81" t="s">
        <v>45</v>
      </c>
      <c r="C3" s="86">
        <v>36963</v>
      </c>
      <c r="D3" s="82">
        <v>9</v>
      </c>
      <c r="E3" s="81" t="s">
        <v>61</v>
      </c>
      <c r="F3" s="83" t="s">
        <v>16</v>
      </c>
      <c r="G3" s="83" t="s">
        <v>17</v>
      </c>
      <c r="H3" s="50">
        <v>19.2</v>
      </c>
      <c r="I3" s="51">
        <v>17.2</v>
      </c>
      <c r="J3" s="52">
        <v>0.04622685185185185</v>
      </c>
      <c r="K3" s="53">
        <v>50</v>
      </c>
      <c r="L3" s="83"/>
      <c r="M3" s="83"/>
    </row>
    <row r="4" spans="1:13" ht="12.75">
      <c r="A4" s="47" t="s">
        <v>86</v>
      </c>
      <c r="B4" s="81" t="s">
        <v>45</v>
      </c>
      <c r="C4" s="87">
        <v>36966</v>
      </c>
      <c r="D4" s="49">
        <v>12</v>
      </c>
      <c r="E4" s="48" t="s">
        <v>61</v>
      </c>
      <c r="F4" s="47" t="s">
        <v>6</v>
      </c>
      <c r="G4" s="47" t="s">
        <v>7</v>
      </c>
      <c r="H4" s="50">
        <v>76</v>
      </c>
      <c r="I4" s="51">
        <v>18.6</v>
      </c>
      <c r="J4" s="52">
        <v>0.16722222222222224</v>
      </c>
      <c r="K4" s="53">
        <v>59</v>
      </c>
      <c r="L4" s="52"/>
      <c r="M4" s="51"/>
    </row>
    <row r="5" spans="1:13" ht="12.75">
      <c r="A5" s="47" t="s">
        <v>86</v>
      </c>
      <c r="B5" s="81" t="s">
        <v>45</v>
      </c>
      <c r="C5" s="87">
        <v>36973</v>
      </c>
      <c r="D5" s="49">
        <v>9</v>
      </c>
      <c r="E5" s="48" t="s">
        <v>61</v>
      </c>
      <c r="F5" s="47" t="s">
        <v>6</v>
      </c>
      <c r="G5" s="48" t="s">
        <v>7</v>
      </c>
      <c r="H5" s="50">
        <v>66</v>
      </c>
      <c r="I5" s="51">
        <v>19.83</v>
      </c>
      <c r="J5" s="52">
        <v>0.1376851851851852</v>
      </c>
      <c r="K5" s="53">
        <v>68</v>
      </c>
      <c r="L5" s="52"/>
      <c r="M5" s="51"/>
    </row>
    <row r="6" spans="1:13" ht="12.75">
      <c r="A6" s="47" t="s">
        <v>86</v>
      </c>
      <c r="B6" s="81" t="s">
        <v>45</v>
      </c>
      <c r="C6" s="87">
        <v>36981</v>
      </c>
      <c r="D6" s="49">
        <v>12</v>
      </c>
      <c r="E6" s="48" t="s">
        <v>66</v>
      </c>
      <c r="F6" s="47" t="s">
        <v>16</v>
      </c>
      <c r="G6" s="47" t="s">
        <v>7</v>
      </c>
      <c r="H6" s="50">
        <v>85</v>
      </c>
      <c r="I6" s="51">
        <v>19.8</v>
      </c>
      <c r="J6" s="52">
        <v>0.17875</v>
      </c>
      <c r="K6" s="53">
        <v>71</v>
      </c>
      <c r="L6" s="52"/>
      <c r="M6" s="51"/>
    </row>
    <row r="7" spans="1:13" ht="12.75">
      <c r="A7" s="47" t="s">
        <v>86</v>
      </c>
      <c r="B7" s="81" t="s">
        <v>46</v>
      </c>
      <c r="C7" s="87">
        <v>36982</v>
      </c>
      <c r="D7" s="49">
        <v>15</v>
      </c>
      <c r="E7" s="47" t="s">
        <v>59</v>
      </c>
      <c r="F7" s="47" t="s">
        <v>16</v>
      </c>
      <c r="G7" s="47" t="s">
        <v>7</v>
      </c>
      <c r="H7" s="50">
        <v>92</v>
      </c>
      <c r="I7" s="51">
        <v>18.7</v>
      </c>
      <c r="J7" s="52">
        <v>0.20304398148148148</v>
      </c>
      <c r="K7" s="53">
        <v>68</v>
      </c>
      <c r="L7" s="52"/>
      <c r="M7" s="51"/>
    </row>
    <row r="8" spans="1:13" ht="12.75">
      <c r="A8" s="47" t="s">
        <v>86</v>
      </c>
      <c r="B8" s="81" t="s">
        <v>46</v>
      </c>
      <c r="C8" s="87">
        <v>36985</v>
      </c>
      <c r="D8" s="49">
        <v>18</v>
      </c>
      <c r="E8" s="47" t="s">
        <v>88</v>
      </c>
      <c r="F8" s="47" t="s">
        <v>16</v>
      </c>
      <c r="G8" s="47" t="s">
        <v>87</v>
      </c>
      <c r="H8" s="50">
        <v>25</v>
      </c>
      <c r="I8" s="51">
        <v>17.6</v>
      </c>
      <c r="J8" s="52">
        <v>0.058576388888888886</v>
      </c>
      <c r="K8" s="53">
        <v>60</v>
      </c>
      <c r="L8" s="52"/>
      <c r="M8" s="51"/>
    </row>
    <row r="9" spans="1:13" ht="12.75">
      <c r="A9" s="47" t="s">
        <v>86</v>
      </c>
      <c r="B9" s="81" t="s">
        <v>46</v>
      </c>
      <c r="C9" s="87">
        <v>36987</v>
      </c>
      <c r="D9" s="49">
        <v>8</v>
      </c>
      <c r="E9" s="48" t="s">
        <v>61</v>
      </c>
      <c r="F9" s="47" t="s">
        <v>16</v>
      </c>
      <c r="G9" s="47" t="s">
        <v>21</v>
      </c>
      <c r="H9" s="50">
        <v>73</v>
      </c>
      <c r="I9" s="51">
        <v>21.4</v>
      </c>
      <c r="J9" s="52">
        <v>0.14199074074074072</v>
      </c>
      <c r="K9" s="53">
        <v>68</v>
      </c>
      <c r="L9" s="52"/>
      <c r="M9" s="51"/>
    </row>
    <row r="10" spans="1:13" ht="12.75">
      <c r="A10" s="47" t="s">
        <v>86</v>
      </c>
      <c r="B10" s="81" t="s">
        <v>46</v>
      </c>
      <c r="C10" s="87">
        <v>36990</v>
      </c>
      <c r="D10" s="49">
        <v>9</v>
      </c>
      <c r="E10" s="47" t="s">
        <v>61</v>
      </c>
      <c r="F10" s="47" t="s">
        <v>16</v>
      </c>
      <c r="G10" s="47" t="s">
        <v>87</v>
      </c>
      <c r="H10" s="50">
        <v>24</v>
      </c>
      <c r="I10" s="51">
        <v>20.1</v>
      </c>
      <c r="J10" s="52">
        <v>0.04974537037037038</v>
      </c>
      <c r="K10" s="53">
        <v>57</v>
      </c>
      <c r="L10" s="52"/>
      <c r="M10" s="51"/>
    </row>
    <row r="11" spans="1:13" ht="12.75">
      <c r="A11" s="47" t="s">
        <v>86</v>
      </c>
      <c r="B11" s="81" t="s">
        <v>46</v>
      </c>
      <c r="C11" s="87">
        <v>36994</v>
      </c>
      <c r="D11" s="49">
        <v>3</v>
      </c>
      <c r="E11" s="48" t="s">
        <v>89</v>
      </c>
      <c r="F11" s="47" t="s">
        <v>6</v>
      </c>
      <c r="G11" s="47" t="s">
        <v>24</v>
      </c>
      <c r="H11" s="50">
        <v>96.61</v>
      </c>
      <c r="I11" s="51">
        <v>18.5</v>
      </c>
      <c r="J11" s="52">
        <v>0.21753472222222223</v>
      </c>
      <c r="K11" s="53">
        <v>57.8</v>
      </c>
      <c r="L11" s="52"/>
      <c r="M11" s="51"/>
    </row>
    <row r="12" spans="1:13" ht="12.75">
      <c r="A12" s="47" t="s">
        <v>86</v>
      </c>
      <c r="B12" s="81" t="s">
        <v>46</v>
      </c>
      <c r="C12" s="87">
        <v>37001</v>
      </c>
      <c r="D12" s="49">
        <v>9</v>
      </c>
      <c r="E12" s="48" t="s">
        <v>61</v>
      </c>
      <c r="F12" s="47" t="s">
        <v>6</v>
      </c>
      <c r="G12" s="47" t="s">
        <v>24</v>
      </c>
      <c r="H12" s="50">
        <v>115</v>
      </c>
      <c r="I12" s="51">
        <v>18.9</v>
      </c>
      <c r="J12" s="52">
        <v>0.25353009259259257</v>
      </c>
      <c r="K12" s="53">
        <v>65</v>
      </c>
      <c r="L12" s="52"/>
      <c r="M12" s="51"/>
    </row>
    <row r="13" spans="1:13" ht="12.75">
      <c r="A13" s="47" t="s">
        <v>86</v>
      </c>
      <c r="B13" s="81" t="s">
        <v>46</v>
      </c>
      <c r="C13" s="87">
        <v>37008</v>
      </c>
      <c r="D13" s="49">
        <v>17</v>
      </c>
      <c r="E13" s="48" t="s">
        <v>90</v>
      </c>
      <c r="F13" s="47" t="s">
        <v>6</v>
      </c>
      <c r="G13" s="47" t="s">
        <v>24</v>
      </c>
      <c r="H13" s="50">
        <v>121</v>
      </c>
      <c r="I13" s="51">
        <v>20.3</v>
      </c>
      <c r="J13" s="52">
        <v>0.24835648148148148</v>
      </c>
      <c r="K13" s="53">
        <v>63</v>
      </c>
      <c r="L13" s="52"/>
      <c r="M13" s="51"/>
    </row>
    <row r="14" spans="1:13" ht="12.75">
      <c r="A14" s="47" t="s">
        <v>86</v>
      </c>
      <c r="B14" s="81" t="s">
        <v>46</v>
      </c>
      <c r="C14" s="87">
        <v>37010</v>
      </c>
      <c r="D14" s="49">
        <v>18</v>
      </c>
      <c r="E14" s="48" t="s">
        <v>59</v>
      </c>
      <c r="F14" s="47" t="s">
        <v>16</v>
      </c>
      <c r="G14" s="47" t="s">
        <v>24</v>
      </c>
      <c r="H14" s="50">
        <v>135</v>
      </c>
      <c r="I14" s="51">
        <v>21.4</v>
      </c>
      <c r="J14" s="52">
        <v>0.26078703703703704</v>
      </c>
      <c r="K14" s="53">
        <v>75</v>
      </c>
      <c r="L14" s="52"/>
      <c r="M14" s="51"/>
    </row>
    <row r="15" spans="1:13" ht="12.75">
      <c r="A15" s="47" t="s">
        <v>86</v>
      </c>
      <c r="B15" s="81" t="s">
        <v>46</v>
      </c>
      <c r="C15" s="87">
        <v>37011</v>
      </c>
      <c r="D15" s="49">
        <v>22</v>
      </c>
      <c r="E15" s="48" t="s">
        <v>59</v>
      </c>
      <c r="H15" s="50">
        <v>41</v>
      </c>
      <c r="I15" s="51">
        <v>20.5</v>
      </c>
      <c r="J15" s="52">
        <v>0.08296296296296296</v>
      </c>
      <c r="K15" s="53">
        <v>55</v>
      </c>
      <c r="L15" s="52"/>
      <c r="M15" s="51"/>
    </row>
    <row r="16" spans="1:13" ht="12.75">
      <c r="A16" s="47" t="s">
        <v>86</v>
      </c>
      <c r="B16" s="81" t="s">
        <v>47</v>
      </c>
      <c r="C16" s="87">
        <v>37012</v>
      </c>
      <c r="D16" s="49">
        <v>24</v>
      </c>
      <c r="E16" s="48" t="s">
        <v>59</v>
      </c>
      <c r="H16" s="50">
        <v>24</v>
      </c>
      <c r="I16" s="51">
        <v>20</v>
      </c>
      <c r="J16" s="52">
        <v>0.05</v>
      </c>
      <c r="K16" s="53">
        <v>48</v>
      </c>
      <c r="L16" s="52"/>
      <c r="M16" s="51"/>
    </row>
    <row r="17" spans="1:13" ht="12.75">
      <c r="A17" s="47" t="s">
        <v>86</v>
      </c>
      <c r="B17" s="81" t="s">
        <v>47</v>
      </c>
      <c r="C17" s="87">
        <v>37015</v>
      </c>
      <c r="D17" s="49">
        <v>20</v>
      </c>
      <c r="E17" s="48" t="s">
        <v>91</v>
      </c>
      <c r="F17" s="47" t="s">
        <v>6</v>
      </c>
      <c r="G17" s="47" t="s">
        <v>24</v>
      </c>
      <c r="H17" s="50">
        <v>100.42</v>
      </c>
      <c r="I17" s="51">
        <v>19.71</v>
      </c>
      <c r="J17" s="52">
        <v>0.21230324074074072</v>
      </c>
      <c r="K17" s="53">
        <v>69</v>
      </c>
      <c r="L17" s="52"/>
      <c r="M17" s="51"/>
    </row>
    <row r="18" spans="1:13" ht="12.75">
      <c r="A18" s="47" t="s">
        <v>86</v>
      </c>
      <c r="B18" s="81" t="s">
        <v>47</v>
      </c>
      <c r="C18" s="87">
        <v>37022</v>
      </c>
      <c r="D18" s="49">
        <v>19</v>
      </c>
      <c r="E18" s="48" t="s">
        <v>88</v>
      </c>
      <c r="F18" s="47" t="s">
        <v>26</v>
      </c>
      <c r="G18" s="47" t="s">
        <v>27</v>
      </c>
      <c r="H18" s="50">
        <v>133.11</v>
      </c>
      <c r="I18" s="51">
        <v>19.32</v>
      </c>
      <c r="J18" s="52">
        <v>0.2871296296296296</v>
      </c>
      <c r="K18" s="53">
        <v>66</v>
      </c>
      <c r="L18" s="52"/>
      <c r="M18" s="51"/>
    </row>
    <row r="19" spans="1:15" ht="12.75">
      <c r="A19" s="47" t="s">
        <v>86</v>
      </c>
      <c r="B19" s="81" t="s">
        <v>47</v>
      </c>
      <c r="C19" s="87">
        <v>37023</v>
      </c>
      <c r="D19" s="49">
        <v>19</v>
      </c>
      <c r="E19" s="48" t="s">
        <v>90</v>
      </c>
      <c r="F19" s="47" t="s">
        <v>26</v>
      </c>
      <c r="G19" s="47" t="s">
        <v>92</v>
      </c>
      <c r="H19" s="50">
        <v>118</v>
      </c>
      <c r="I19" s="51">
        <v>19.54</v>
      </c>
      <c r="J19" s="52">
        <v>0.24660879629629628</v>
      </c>
      <c r="K19" s="53">
        <v>69</v>
      </c>
      <c r="L19" s="52"/>
      <c r="M19" s="51"/>
      <c r="N19" s="93" t="s">
        <v>63</v>
      </c>
      <c r="O19" s="94"/>
    </row>
    <row r="20" spans="1:15" ht="12.75">
      <c r="A20" s="47" t="s">
        <v>86</v>
      </c>
      <c r="B20" s="81" t="s">
        <v>47</v>
      </c>
      <c r="C20" s="87">
        <v>37024</v>
      </c>
      <c r="D20" s="49">
        <v>20</v>
      </c>
      <c r="E20" s="48" t="s">
        <v>90</v>
      </c>
      <c r="F20" s="47" t="s">
        <v>26</v>
      </c>
      <c r="G20" s="47" t="s">
        <v>28</v>
      </c>
      <c r="H20" s="50">
        <v>87.33</v>
      </c>
      <c r="I20" s="51">
        <v>16.79</v>
      </c>
      <c r="J20" s="52">
        <v>0.21416666666666664</v>
      </c>
      <c r="K20" s="53">
        <v>69</v>
      </c>
      <c r="L20" s="52"/>
      <c r="M20" s="51"/>
      <c r="N20" s="45" t="s">
        <v>13</v>
      </c>
      <c r="O20" s="41">
        <f>SUM(H:H)</f>
        <v>4422.599999999999</v>
      </c>
    </row>
    <row r="21" spans="1:15" ht="12.75">
      <c r="A21" s="47" t="s">
        <v>86</v>
      </c>
      <c r="B21" s="81" t="s">
        <v>47</v>
      </c>
      <c r="C21" s="87">
        <v>37037</v>
      </c>
      <c r="D21" s="49">
        <v>18</v>
      </c>
      <c r="E21" s="48" t="s">
        <v>59</v>
      </c>
      <c r="H21" s="50">
        <v>86</v>
      </c>
      <c r="I21" s="51">
        <v>19.5</v>
      </c>
      <c r="J21" s="52">
        <v>0.19516203703703705</v>
      </c>
      <c r="K21" s="53">
        <v>69</v>
      </c>
      <c r="L21" s="52"/>
      <c r="M21" s="51"/>
      <c r="N21" s="59" t="s">
        <v>86</v>
      </c>
      <c r="O21" s="41">
        <f>SUMIF(A:A,"silnička",H:H)</f>
        <v>4422.599999999999</v>
      </c>
    </row>
    <row r="22" spans="1:15" ht="12.75">
      <c r="A22" s="47" t="s">
        <v>86</v>
      </c>
      <c r="B22" s="81" t="s">
        <v>47</v>
      </c>
      <c r="C22" s="87">
        <v>37038</v>
      </c>
      <c r="D22" s="49">
        <v>20</v>
      </c>
      <c r="E22" s="48" t="s">
        <v>59</v>
      </c>
      <c r="H22" s="50">
        <v>92</v>
      </c>
      <c r="I22" s="51">
        <v>17.9</v>
      </c>
      <c r="J22" s="52">
        <v>0.21415509259259258</v>
      </c>
      <c r="K22" s="53">
        <v>66</v>
      </c>
      <c r="L22" s="52"/>
      <c r="M22" s="51"/>
      <c r="N22" s="59" t="s">
        <v>12</v>
      </c>
      <c r="O22" s="41">
        <f>SUMIF(A:A,"horák",H:H)</f>
        <v>0</v>
      </c>
    </row>
    <row r="23" spans="1:15" ht="12.75">
      <c r="A23" s="47" t="s">
        <v>86</v>
      </c>
      <c r="B23" s="81" t="s">
        <v>48</v>
      </c>
      <c r="C23" s="87">
        <v>37050</v>
      </c>
      <c r="D23" s="49">
        <v>20</v>
      </c>
      <c r="E23" s="48" t="s">
        <v>88</v>
      </c>
      <c r="F23" s="47" t="s">
        <v>6</v>
      </c>
      <c r="G23" s="47" t="s">
        <v>24</v>
      </c>
      <c r="H23" s="50">
        <v>109.01</v>
      </c>
      <c r="I23" s="51">
        <v>21.71</v>
      </c>
      <c r="J23" s="52">
        <v>0.20916666666666664</v>
      </c>
      <c r="K23" s="53">
        <v>74</v>
      </c>
      <c r="M23" s="51"/>
      <c r="N23" s="45" t="s">
        <v>37</v>
      </c>
      <c r="O23" s="42"/>
    </row>
    <row r="24" spans="1:15" ht="12.75">
      <c r="A24" s="47" t="s">
        <v>86</v>
      </c>
      <c r="B24" s="81" t="s">
        <v>48</v>
      </c>
      <c r="C24" s="87">
        <v>37052</v>
      </c>
      <c r="D24" s="49">
        <v>18</v>
      </c>
      <c r="E24" s="48" t="s">
        <v>88</v>
      </c>
      <c r="H24" s="50">
        <v>91</v>
      </c>
      <c r="I24" s="51">
        <v>20.8</v>
      </c>
      <c r="J24" s="52">
        <v>0.1795601851851852</v>
      </c>
      <c r="K24" s="53">
        <v>68</v>
      </c>
      <c r="M24" s="51"/>
      <c r="N24" s="59" t="s">
        <v>86</v>
      </c>
      <c r="O24" s="42">
        <f>(SUMIF(A:A,"silnička",I:I))/COUNTIF(A:A,"silnička")</f>
        <v>18.052549019607845</v>
      </c>
    </row>
    <row r="25" spans="1:15" ht="12.75">
      <c r="A25" s="47" t="s">
        <v>86</v>
      </c>
      <c r="B25" s="81" t="s">
        <v>48</v>
      </c>
      <c r="C25" s="87">
        <v>37055</v>
      </c>
      <c r="D25" s="49">
        <v>20</v>
      </c>
      <c r="E25" s="48" t="s">
        <v>88</v>
      </c>
      <c r="H25" s="50">
        <v>50</v>
      </c>
      <c r="I25" s="51">
        <v>18.5</v>
      </c>
      <c r="J25" s="52">
        <v>0.10957175925925926</v>
      </c>
      <c r="K25" s="53">
        <v>64</v>
      </c>
      <c r="M25" s="51"/>
      <c r="N25" s="59" t="s">
        <v>12</v>
      </c>
      <c r="O25" s="42"/>
    </row>
    <row r="26" spans="1:15" ht="12.75">
      <c r="A26" s="47" t="s">
        <v>86</v>
      </c>
      <c r="B26" s="81" t="s">
        <v>48</v>
      </c>
      <c r="C26" s="87">
        <v>37057</v>
      </c>
      <c r="D26" s="49">
        <v>25</v>
      </c>
      <c r="E26" s="48" t="s">
        <v>90</v>
      </c>
      <c r="F26" s="47" t="s">
        <v>29</v>
      </c>
      <c r="G26" s="47" t="s">
        <v>93</v>
      </c>
      <c r="H26" s="50">
        <v>167</v>
      </c>
      <c r="I26" s="51">
        <v>20.51</v>
      </c>
      <c r="J26" s="52">
        <v>0.33640046296296294</v>
      </c>
      <c r="K26" s="53">
        <v>72</v>
      </c>
      <c r="L26" s="52">
        <v>0.4375</v>
      </c>
      <c r="M26" s="51">
        <f>(H26/L26)/24</f>
        <v>15.904761904761905</v>
      </c>
      <c r="N26" s="45" t="s">
        <v>4</v>
      </c>
      <c r="O26" s="43">
        <f>SUM(J:J)</f>
        <v>8.298032407407405</v>
      </c>
    </row>
    <row r="27" spans="1:15" ht="12.75">
      <c r="A27" s="47" t="s">
        <v>86</v>
      </c>
      <c r="B27" s="81" t="s">
        <v>48</v>
      </c>
      <c r="C27" s="87">
        <v>37066</v>
      </c>
      <c r="D27" s="49">
        <v>20</v>
      </c>
      <c r="H27" s="50">
        <v>136</v>
      </c>
      <c r="I27" s="51">
        <v>21.8</v>
      </c>
      <c r="J27" s="52">
        <v>0.2604398148148148</v>
      </c>
      <c r="K27" s="53">
        <v>72</v>
      </c>
      <c r="L27" s="52"/>
      <c r="M27" s="51"/>
      <c r="N27" s="59" t="s">
        <v>86</v>
      </c>
      <c r="O27" s="43">
        <f>SUMIF(A:A,"silnička",J:J)</f>
        <v>8.298032407407405</v>
      </c>
    </row>
    <row r="28" spans="1:15" ht="12.75">
      <c r="A28" s="47" t="s">
        <v>86</v>
      </c>
      <c r="B28" s="81" t="s">
        <v>48</v>
      </c>
      <c r="C28" s="87">
        <v>37071</v>
      </c>
      <c r="D28" s="49">
        <v>27</v>
      </c>
      <c r="E28" s="48" t="s">
        <v>90</v>
      </c>
      <c r="F28" s="47" t="s">
        <v>6</v>
      </c>
      <c r="G28" s="47" t="s">
        <v>25</v>
      </c>
      <c r="H28" s="50">
        <v>84.68</v>
      </c>
      <c r="I28" s="51">
        <v>22.23</v>
      </c>
      <c r="J28" s="52">
        <v>0.15871527777777777</v>
      </c>
      <c r="K28" s="53">
        <v>72</v>
      </c>
      <c r="L28" s="52"/>
      <c r="M28" s="51"/>
      <c r="N28" s="59" t="s">
        <v>12</v>
      </c>
      <c r="O28" s="43">
        <f>SUMIF(A:A,"horák",J:J)</f>
        <v>0</v>
      </c>
    </row>
    <row r="29" spans="1:15" ht="12.75">
      <c r="A29" s="47" t="s">
        <v>86</v>
      </c>
      <c r="B29" s="81" t="s">
        <v>49</v>
      </c>
      <c r="C29" s="87">
        <v>37085</v>
      </c>
      <c r="D29" s="49">
        <v>23</v>
      </c>
      <c r="E29" s="48" t="s">
        <v>88</v>
      </c>
      <c r="F29" s="47" t="s">
        <v>6</v>
      </c>
      <c r="G29" s="47" t="s">
        <v>24</v>
      </c>
      <c r="H29" s="50">
        <v>108.97</v>
      </c>
      <c r="I29" s="51">
        <v>20.94</v>
      </c>
      <c r="J29" s="52">
        <v>0.21681712962962962</v>
      </c>
      <c r="K29" s="53">
        <v>68</v>
      </c>
      <c r="L29" s="52">
        <v>0.2534722222222222</v>
      </c>
      <c r="M29" s="51">
        <f>(H29/L29)/24</f>
        <v>17.912876712328767</v>
      </c>
      <c r="N29" s="45" t="s">
        <v>5</v>
      </c>
      <c r="O29" s="44">
        <f>MAX(K:K)</f>
        <v>75</v>
      </c>
    </row>
    <row r="30" spans="1:15" ht="12.75">
      <c r="A30" s="47" t="s">
        <v>86</v>
      </c>
      <c r="B30" s="81" t="s">
        <v>49</v>
      </c>
      <c r="C30" s="87">
        <v>37087</v>
      </c>
      <c r="D30" s="49">
        <v>30</v>
      </c>
      <c r="H30" s="50">
        <v>24</v>
      </c>
      <c r="I30" s="51">
        <v>22.9</v>
      </c>
      <c r="J30" s="52">
        <v>0.04366898148148148</v>
      </c>
      <c r="K30" s="53">
        <v>51</v>
      </c>
      <c r="L30" s="52"/>
      <c r="M30" s="51"/>
      <c r="N30" s="45" t="s">
        <v>14</v>
      </c>
      <c r="O30" s="46">
        <f>AVERAGE(D:D)</f>
        <v>18.098039215686274</v>
      </c>
    </row>
    <row r="31" spans="1:15" ht="12.75">
      <c r="A31" s="47" t="s">
        <v>86</v>
      </c>
      <c r="B31" s="81" t="s">
        <v>49</v>
      </c>
      <c r="C31" s="87">
        <v>37091</v>
      </c>
      <c r="D31" s="49">
        <v>18</v>
      </c>
      <c r="H31" s="50">
        <v>31</v>
      </c>
      <c r="K31" s="53">
        <v>59</v>
      </c>
      <c r="L31" s="52"/>
      <c r="M31" s="51"/>
      <c r="N31" s="59" t="s">
        <v>86</v>
      </c>
      <c r="O31" s="46">
        <f>(SUMIF(A:A,"silnička",D:D))/COUNTIF(A:A,"silnička")</f>
        <v>18.098039215686274</v>
      </c>
    </row>
    <row r="32" spans="1:15" ht="12.75">
      <c r="A32" s="47" t="s">
        <v>86</v>
      </c>
      <c r="B32" s="81" t="s">
        <v>49</v>
      </c>
      <c r="C32" s="87">
        <v>37092</v>
      </c>
      <c r="D32" s="49">
        <v>19</v>
      </c>
      <c r="E32" s="48" t="s">
        <v>91</v>
      </c>
      <c r="F32" s="47" t="s">
        <v>15</v>
      </c>
      <c r="G32" s="47" t="s">
        <v>31</v>
      </c>
      <c r="H32" s="50">
        <v>113.64</v>
      </c>
      <c r="I32" s="51">
        <v>20.24</v>
      </c>
      <c r="J32" s="52">
        <v>0.23399305555555558</v>
      </c>
      <c r="K32" s="53">
        <v>60</v>
      </c>
      <c r="L32" s="52">
        <v>0.3020833333333333</v>
      </c>
      <c r="M32" s="51">
        <f>(H32/L32)/24</f>
        <v>15.674482758620691</v>
      </c>
      <c r="N32" s="59" t="s">
        <v>12</v>
      </c>
      <c r="O32" s="46"/>
    </row>
    <row r="33" spans="1:15" ht="12.75">
      <c r="A33" s="47" t="s">
        <v>86</v>
      </c>
      <c r="B33" s="81" t="s">
        <v>49</v>
      </c>
      <c r="C33" s="87">
        <v>37094</v>
      </c>
      <c r="D33" s="49">
        <v>20</v>
      </c>
      <c r="H33" s="50">
        <v>81</v>
      </c>
      <c r="I33" s="51">
        <v>20</v>
      </c>
      <c r="J33" s="52">
        <v>0.16630787037037037</v>
      </c>
      <c r="K33" s="53">
        <v>73</v>
      </c>
      <c r="L33" s="52"/>
      <c r="M33" s="51"/>
      <c r="N33" s="45" t="s">
        <v>30</v>
      </c>
      <c r="O33" s="43">
        <f>SUM(L:L)</f>
        <v>3.059027777777778</v>
      </c>
    </row>
    <row r="34" spans="1:15" ht="12.75">
      <c r="A34" s="47" t="s">
        <v>86</v>
      </c>
      <c r="B34" s="81" t="s">
        <v>49</v>
      </c>
      <c r="C34" s="87">
        <v>37098</v>
      </c>
      <c r="D34" s="49">
        <v>30</v>
      </c>
      <c r="E34" s="48" t="s">
        <v>90</v>
      </c>
      <c r="F34" s="47" t="s">
        <v>33</v>
      </c>
      <c r="G34" s="47" t="s">
        <v>32</v>
      </c>
      <c r="H34" s="50">
        <v>111</v>
      </c>
      <c r="I34" s="51">
        <v>20.81</v>
      </c>
      <c r="J34" s="52">
        <v>0.21680555555555556</v>
      </c>
      <c r="K34" s="53">
        <v>71</v>
      </c>
      <c r="L34" s="52">
        <v>0.28125</v>
      </c>
      <c r="M34" s="51">
        <f>(H34/L34)/24</f>
        <v>16.444444444444446</v>
      </c>
      <c r="N34" s="59" t="s">
        <v>86</v>
      </c>
      <c r="O34" s="43">
        <f>SUMIF(A:A,"silnička",L:L)</f>
        <v>3.059027777777778</v>
      </c>
    </row>
    <row r="35" spans="1:15" ht="12.75">
      <c r="A35" s="47" t="s">
        <v>86</v>
      </c>
      <c r="B35" s="81" t="s">
        <v>49</v>
      </c>
      <c r="C35" s="87">
        <v>37099</v>
      </c>
      <c r="D35" s="49">
        <v>30</v>
      </c>
      <c r="E35" s="48" t="s">
        <v>90</v>
      </c>
      <c r="F35" s="47" t="s">
        <v>34</v>
      </c>
      <c r="G35" s="47" t="s">
        <v>35</v>
      </c>
      <c r="H35" s="50">
        <v>91</v>
      </c>
      <c r="K35" s="53">
        <v>64</v>
      </c>
      <c r="L35" s="52"/>
      <c r="M35" s="51"/>
      <c r="N35" s="59" t="s">
        <v>12</v>
      </c>
      <c r="O35" s="43">
        <f>SUMIF(A:A,"horák",L:L)</f>
        <v>0</v>
      </c>
    </row>
    <row r="36" spans="1:15" ht="12.75">
      <c r="A36" s="47" t="s">
        <v>86</v>
      </c>
      <c r="B36" s="81" t="s">
        <v>49</v>
      </c>
      <c r="C36" s="87">
        <v>37101</v>
      </c>
      <c r="D36" s="49">
        <v>30</v>
      </c>
      <c r="H36" s="50">
        <v>41</v>
      </c>
      <c r="I36" s="51">
        <v>22.5</v>
      </c>
      <c r="K36" s="53">
        <v>64</v>
      </c>
      <c r="L36" s="52"/>
      <c r="M36" s="51"/>
      <c r="N36" s="45" t="s">
        <v>38</v>
      </c>
      <c r="O36" s="42">
        <f>AVERAGE(M:M)</f>
        <v>16.187813659400135</v>
      </c>
    </row>
    <row r="37" spans="1:15" ht="12.75">
      <c r="A37" s="47" t="s">
        <v>86</v>
      </c>
      <c r="B37" s="81" t="s">
        <v>50</v>
      </c>
      <c r="C37" s="87">
        <v>37106</v>
      </c>
      <c r="D37" s="49">
        <v>30</v>
      </c>
      <c r="E37" s="48" t="s">
        <v>88</v>
      </c>
      <c r="F37" s="47" t="s">
        <v>34</v>
      </c>
      <c r="G37" s="47" t="s">
        <v>36</v>
      </c>
      <c r="H37" s="50">
        <v>104.64</v>
      </c>
      <c r="I37" s="51">
        <v>16.68</v>
      </c>
      <c r="J37" s="52">
        <v>0.2614351851851852</v>
      </c>
      <c r="K37" s="53">
        <v>60.8</v>
      </c>
      <c r="L37" s="52">
        <v>0.3541666666666667</v>
      </c>
      <c r="M37" s="51">
        <f>(H37/L37)/24</f>
        <v>12.310588235294118</v>
      </c>
      <c r="N37" s="59" t="s">
        <v>86</v>
      </c>
      <c r="O37" s="42">
        <f>(SUMIF(A:A,"silnička",M:M))/COUNTIF(A:A,"silnička")</f>
        <v>3.174081109686301</v>
      </c>
    </row>
    <row r="38" spans="1:15" ht="12.75">
      <c r="A38" s="47" t="s">
        <v>86</v>
      </c>
      <c r="B38" s="81" t="s">
        <v>50</v>
      </c>
      <c r="C38" s="87">
        <v>37107</v>
      </c>
      <c r="D38" s="49">
        <v>23</v>
      </c>
      <c r="H38" s="50">
        <v>33</v>
      </c>
      <c r="I38" s="51">
        <v>18.8</v>
      </c>
      <c r="J38" s="52">
        <v>0.07100694444444444</v>
      </c>
      <c r="K38" s="53">
        <v>71</v>
      </c>
      <c r="L38" s="52"/>
      <c r="M38" s="51"/>
      <c r="N38" s="59" t="s">
        <v>12</v>
      </c>
      <c r="O38" s="42"/>
    </row>
    <row r="39" spans="1:13" ht="12.75">
      <c r="A39" s="47" t="s">
        <v>86</v>
      </c>
      <c r="B39" s="81" t="s">
        <v>50</v>
      </c>
      <c r="C39" s="87">
        <v>37108</v>
      </c>
      <c r="D39" s="49">
        <v>23</v>
      </c>
      <c r="H39" s="50">
        <v>15</v>
      </c>
      <c r="L39" s="52"/>
      <c r="M39" s="51"/>
    </row>
    <row r="40" spans="1:16" ht="12.75">
      <c r="A40" s="47" t="s">
        <v>86</v>
      </c>
      <c r="B40" s="81" t="s">
        <v>50</v>
      </c>
      <c r="C40" s="87">
        <v>37114</v>
      </c>
      <c r="D40" s="49">
        <v>18</v>
      </c>
      <c r="H40" s="50">
        <v>114</v>
      </c>
      <c r="I40" s="51">
        <v>20.9</v>
      </c>
      <c r="J40" s="52">
        <v>0.22731481481481483</v>
      </c>
      <c r="K40" s="53">
        <v>74</v>
      </c>
      <c r="L40" s="52"/>
      <c r="M40" s="51"/>
      <c r="N40" s="38" t="s">
        <v>82</v>
      </c>
      <c r="O40" s="38" t="s">
        <v>83</v>
      </c>
      <c r="P40" s="38" t="s">
        <v>84</v>
      </c>
    </row>
    <row r="41" spans="1:16" ht="12.75">
      <c r="A41" s="47" t="s">
        <v>86</v>
      </c>
      <c r="B41" s="81" t="s">
        <v>50</v>
      </c>
      <c r="C41" s="87">
        <v>37123</v>
      </c>
      <c r="D41" s="49">
        <v>17</v>
      </c>
      <c r="H41" s="50">
        <v>70</v>
      </c>
      <c r="L41" s="52"/>
      <c r="M41" s="51"/>
      <c r="N41" s="45" t="s">
        <v>43</v>
      </c>
      <c r="O41" s="41">
        <f>SUMIF(B:B,"leden",H:H)</f>
        <v>0</v>
      </c>
      <c r="P41" s="41">
        <f>O41</f>
        <v>0</v>
      </c>
    </row>
    <row r="42" spans="1:16" ht="12.75">
      <c r="A42" s="47" t="s">
        <v>86</v>
      </c>
      <c r="B42" s="81" t="s">
        <v>50</v>
      </c>
      <c r="C42" s="87">
        <v>37131</v>
      </c>
      <c r="D42" s="49">
        <v>20</v>
      </c>
      <c r="E42" s="48" t="s">
        <v>90</v>
      </c>
      <c r="F42" s="47" t="s">
        <v>29</v>
      </c>
      <c r="G42" s="47" t="s">
        <v>93</v>
      </c>
      <c r="H42" s="50">
        <v>166.04</v>
      </c>
      <c r="I42" s="51">
        <v>21.84</v>
      </c>
      <c r="J42" s="52">
        <v>0.3167013888888889</v>
      </c>
      <c r="K42" s="53">
        <v>75</v>
      </c>
      <c r="L42" s="52">
        <v>0.44097222222222227</v>
      </c>
      <c r="M42" s="51">
        <f>(H42/L42)/24</f>
        <v>15.688818897637793</v>
      </c>
      <c r="N42" s="45" t="s">
        <v>44</v>
      </c>
      <c r="O42" s="41">
        <f>SUMIF(B:B,"únor",H:H)</f>
        <v>0</v>
      </c>
      <c r="P42" s="41">
        <f>P41+O42</f>
        <v>0</v>
      </c>
    </row>
    <row r="43" spans="1:16" ht="12.75">
      <c r="A43" s="47" t="s">
        <v>86</v>
      </c>
      <c r="B43" s="81" t="s">
        <v>51</v>
      </c>
      <c r="C43" s="87">
        <v>37136</v>
      </c>
      <c r="D43" s="49">
        <v>18</v>
      </c>
      <c r="H43" s="50">
        <v>116</v>
      </c>
      <c r="I43" s="51">
        <v>20.1</v>
      </c>
      <c r="J43" s="52">
        <v>0.2312962962962963</v>
      </c>
      <c r="K43" s="53">
        <v>70</v>
      </c>
      <c r="L43" s="52"/>
      <c r="M43" s="51"/>
      <c r="N43" s="45" t="s">
        <v>45</v>
      </c>
      <c r="O43" s="41">
        <f>SUMIF(B:B,"březen",H:H)</f>
        <v>274</v>
      </c>
      <c r="P43" s="41">
        <f aca="true" t="shared" si="0" ref="P43:P52">P42+O43</f>
        <v>274</v>
      </c>
    </row>
    <row r="44" spans="1:16" ht="12.75">
      <c r="A44" s="47" t="s">
        <v>86</v>
      </c>
      <c r="B44" s="81" t="s">
        <v>51</v>
      </c>
      <c r="C44" s="87">
        <v>37139</v>
      </c>
      <c r="D44" s="49">
        <v>16</v>
      </c>
      <c r="E44" s="48" t="s">
        <v>94</v>
      </c>
      <c r="F44" s="47" t="s">
        <v>6</v>
      </c>
      <c r="G44" s="47" t="s">
        <v>24</v>
      </c>
      <c r="H44" s="50">
        <v>101.45</v>
      </c>
      <c r="I44" s="51">
        <v>20.97</v>
      </c>
      <c r="J44" s="52">
        <v>0.2015625</v>
      </c>
      <c r="K44" s="53">
        <v>68</v>
      </c>
      <c r="L44" s="52">
        <v>0.2569444444444445</v>
      </c>
      <c r="M44" s="51">
        <f>(H44/L44)/24</f>
        <v>16.45135135135135</v>
      </c>
      <c r="N44" s="45" t="s">
        <v>46</v>
      </c>
      <c r="O44" s="41">
        <f>SUMIF(B:B,"duben",H:H)</f>
        <v>722.61</v>
      </c>
      <c r="P44" s="41">
        <f t="shared" si="0"/>
        <v>996.61</v>
      </c>
    </row>
    <row r="45" spans="1:16" ht="12.75">
      <c r="A45" s="84" t="s">
        <v>86</v>
      </c>
      <c r="B45" s="81" t="s">
        <v>51</v>
      </c>
      <c r="C45" s="88">
        <v>37142</v>
      </c>
      <c r="D45" s="75">
        <v>10</v>
      </c>
      <c r="E45" s="74" t="s">
        <v>94</v>
      </c>
      <c r="F45" s="73" t="s">
        <v>29</v>
      </c>
      <c r="G45" s="73" t="s">
        <v>93</v>
      </c>
      <c r="H45" s="77">
        <v>165.49</v>
      </c>
      <c r="I45" s="78"/>
      <c r="J45" s="79"/>
      <c r="K45" s="80">
        <v>68</v>
      </c>
      <c r="L45" s="79"/>
      <c r="M45" s="78"/>
      <c r="N45" s="45" t="s">
        <v>47</v>
      </c>
      <c r="O45" s="41">
        <f>SUMIF(B:B,"květen",H:H)</f>
        <v>640.86</v>
      </c>
      <c r="P45" s="41">
        <f t="shared" si="0"/>
        <v>1637.47</v>
      </c>
    </row>
    <row r="46" spans="1:16" ht="12.75">
      <c r="A46" s="47" t="s">
        <v>86</v>
      </c>
      <c r="B46" s="81" t="s">
        <v>51</v>
      </c>
      <c r="C46" s="87">
        <v>37157</v>
      </c>
      <c r="D46" s="49">
        <v>14</v>
      </c>
      <c r="H46" s="50">
        <v>116</v>
      </c>
      <c r="I46" s="51">
        <v>19.6</v>
      </c>
      <c r="J46" s="52">
        <v>0.24435185185185185</v>
      </c>
      <c r="K46" s="53">
        <v>70</v>
      </c>
      <c r="L46" s="52"/>
      <c r="M46" s="51"/>
      <c r="N46" s="45" t="s">
        <v>48</v>
      </c>
      <c r="O46" s="41">
        <f>SUMIF(B:B,"červen",H:H)</f>
        <v>637.69</v>
      </c>
      <c r="P46" s="41">
        <f t="shared" si="0"/>
        <v>2275.16</v>
      </c>
    </row>
    <row r="47" spans="1:16" ht="12.75">
      <c r="A47" s="47" t="s">
        <v>86</v>
      </c>
      <c r="B47" s="81" t="s">
        <v>51</v>
      </c>
      <c r="C47" s="87">
        <v>37164</v>
      </c>
      <c r="D47" s="49">
        <v>14</v>
      </c>
      <c r="H47" s="50">
        <v>116</v>
      </c>
      <c r="I47" s="51">
        <v>20.6</v>
      </c>
      <c r="J47" s="52">
        <v>0.22971064814814815</v>
      </c>
      <c r="K47" s="53">
        <v>69</v>
      </c>
      <c r="L47" s="52"/>
      <c r="M47" s="51"/>
      <c r="N47" s="45" t="s">
        <v>49</v>
      </c>
      <c r="O47" s="41">
        <f>SUMIF(B:B,"červenec",H:H)</f>
        <v>601.61</v>
      </c>
      <c r="P47" s="41">
        <f t="shared" si="0"/>
        <v>2876.77</v>
      </c>
    </row>
    <row r="48" spans="1:16" ht="12.75">
      <c r="A48" s="47" t="s">
        <v>86</v>
      </c>
      <c r="B48" s="81" t="s">
        <v>52</v>
      </c>
      <c r="C48" s="87">
        <v>37169</v>
      </c>
      <c r="D48" s="49">
        <v>16</v>
      </c>
      <c r="E48" s="48" t="s">
        <v>95</v>
      </c>
      <c r="F48" s="47" t="s">
        <v>6</v>
      </c>
      <c r="G48" s="47" t="s">
        <v>24</v>
      </c>
      <c r="H48" s="50">
        <v>95.9</v>
      </c>
      <c r="I48" s="51">
        <v>20</v>
      </c>
      <c r="J48" s="52">
        <v>0.1997685185185185</v>
      </c>
      <c r="K48" s="53">
        <v>64</v>
      </c>
      <c r="L48" s="52">
        <v>0.2222222222222222</v>
      </c>
      <c r="M48" s="51">
        <f>(H48/L48)/24</f>
        <v>17.981250000000003</v>
      </c>
      <c r="N48" s="45" t="s">
        <v>50</v>
      </c>
      <c r="O48" s="41">
        <f>SUMIF(B:B,"srpen",H:H)</f>
        <v>502.67999999999995</v>
      </c>
      <c r="P48" s="41">
        <f t="shared" si="0"/>
        <v>3379.45</v>
      </c>
    </row>
    <row r="49" spans="1:16" ht="12.75">
      <c r="A49" s="47" t="s">
        <v>86</v>
      </c>
      <c r="B49" s="81" t="s">
        <v>52</v>
      </c>
      <c r="C49" s="87">
        <v>37171</v>
      </c>
      <c r="D49" s="49">
        <v>17</v>
      </c>
      <c r="H49" s="50">
        <v>93</v>
      </c>
      <c r="I49" s="51">
        <v>20</v>
      </c>
      <c r="J49" s="52">
        <v>0.18872685185185187</v>
      </c>
      <c r="K49" s="53">
        <v>69</v>
      </c>
      <c r="L49" s="52"/>
      <c r="M49" s="51"/>
      <c r="N49" s="45" t="s">
        <v>51</v>
      </c>
      <c r="O49" s="41">
        <f>SUMIF(B:B,"září",H:H)</f>
        <v>614.94</v>
      </c>
      <c r="P49" s="41">
        <f t="shared" si="0"/>
        <v>3994.39</v>
      </c>
    </row>
    <row r="50" spans="1:16" ht="12.75">
      <c r="A50" s="47" t="s">
        <v>86</v>
      </c>
      <c r="B50" s="81" t="s">
        <v>52</v>
      </c>
      <c r="C50" s="87">
        <v>37183</v>
      </c>
      <c r="D50" s="49">
        <v>15</v>
      </c>
      <c r="E50" s="48" t="s">
        <v>95</v>
      </c>
      <c r="F50" s="47" t="s">
        <v>6</v>
      </c>
      <c r="G50" s="47" t="s">
        <v>24</v>
      </c>
      <c r="H50" s="50">
        <v>108.04</v>
      </c>
      <c r="I50" s="51">
        <v>20.74</v>
      </c>
      <c r="J50" s="52">
        <v>0.21666666666666667</v>
      </c>
      <c r="K50" s="53">
        <v>67</v>
      </c>
      <c r="L50" s="52">
        <v>0.28125</v>
      </c>
      <c r="M50" s="51">
        <f>(H50/L50)/24</f>
        <v>16.005925925925926</v>
      </c>
      <c r="N50" s="45" t="s">
        <v>52</v>
      </c>
      <c r="O50" s="41">
        <f>SUMIF(B:B,"říjen",H:H)</f>
        <v>331.94</v>
      </c>
      <c r="P50" s="41">
        <f t="shared" si="0"/>
        <v>4326.33</v>
      </c>
    </row>
    <row r="51" spans="1:16" ht="12.75">
      <c r="A51" s="47" t="s">
        <v>86</v>
      </c>
      <c r="B51" s="81" t="s">
        <v>52</v>
      </c>
      <c r="C51" s="87">
        <v>37185</v>
      </c>
      <c r="D51" s="49">
        <v>13</v>
      </c>
      <c r="H51" s="50">
        <v>35</v>
      </c>
      <c r="I51" s="51">
        <v>23.1</v>
      </c>
      <c r="J51" s="52">
        <v>0.06091435185185185</v>
      </c>
      <c r="K51" s="53">
        <v>44</v>
      </c>
      <c r="L51" s="52"/>
      <c r="M51" s="51"/>
      <c r="N51" s="45" t="s">
        <v>53</v>
      </c>
      <c r="O51" s="41">
        <f>SUMIF(B:B,"listopad",H:H)</f>
        <v>96.27</v>
      </c>
      <c r="P51" s="41">
        <f t="shared" si="0"/>
        <v>4422.6</v>
      </c>
    </row>
    <row r="52" spans="1:16" ht="12.75">
      <c r="A52" s="47" t="s">
        <v>86</v>
      </c>
      <c r="B52" s="81" t="s">
        <v>53</v>
      </c>
      <c r="C52" s="87">
        <v>37197</v>
      </c>
      <c r="D52" s="49">
        <v>10</v>
      </c>
      <c r="E52" s="48" t="s">
        <v>96</v>
      </c>
      <c r="F52" s="47" t="s">
        <v>6</v>
      </c>
      <c r="G52" s="47" t="s">
        <v>24</v>
      </c>
      <c r="H52" s="50">
        <v>96.27</v>
      </c>
      <c r="I52" s="51">
        <v>21.32</v>
      </c>
      <c r="J52" s="52">
        <v>0.18813657407407405</v>
      </c>
      <c r="K52" s="53">
        <v>59.2</v>
      </c>
      <c r="L52" s="52">
        <v>0.22916666666666666</v>
      </c>
      <c r="M52" s="51">
        <f>(H52/L52)/24</f>
        <v>17.503636363636364</v>
      </c>
      <c r="N52" s="45" t="s">
        <v>54</v>
      </c>
      <c r="O52" s="41">
        <f>SUMIF(B:B,"prosinec",H:H)</f>
        <v>0</v>
      </c>
      <c r="P52" s="41">
        <f t="shared" si="0"/>
        <v>4422.6</v>
      </c>
    </row>
    <row r="53" ht="12.75">
      <c r="L53" s="52"/>
    </row>
    <row r="54" ht="12.75">
      <c r="L54" s="52"/>
    </row>
    <row r="55" ht="12.75">
      <c r="L55" s="52"/>
    </row>
    <row r="56" spans="10:12" ht="12.75">
      <c r="J56" s="52" t="s">
        <v>132</v>
      </c>
      <c r="L56" s="52"/>
    </row>
    <row r="57" ht="12.75">
      <c r="L57" s="52"/>
    </row>
    <row r="58" ht="12.75">
      <c r="L58" s="52"/>
    </row>
    <row r="59" ht="12.75">
      <c r="L59" s="52"/>
    </row>
    <row r="60" ht="12.75">
      <c r="L60" s="52"/>
    </row>
    <row r="61" ht="12.75">
      <c r="L61" s="52"/>
    </row>
    <row r="62" ht="12.75">
      <c r="L62" s="52"/>
    </row>
    <row r="63" ht="12.75">
      <c r="L63" s="52"/>
    </row>
    <row r="64" ht="12.75">
      <c r="L64" s="52"/>
    </row>
    <row r="65" ht="12.75">
      <c r="L65" s="52"/>
    </row>
    <row r="66" ht="12.75">
      <c r="L66" s="52"/>
    </row>
    <row r="67" ht="12.75">
      <c r="L67" s="52"/>
    </row>
    <row r="68" ht="12.75">
      <c r="L68" s="52"/>
    </row>
    <row r="69" ht="12.75">
      <c r="L69" s="52"/>
    </row>
    <row r="70" ht="12.75">
      <c r="L70" s="52"/>
    </row>
    <row r="71" ht="12.75">
      <c r="L71" s="52"/>
    </row>
    <row r="72" ht="12.75">
      <c r="L72" s="52"/>
    </row>
    <row r="73" ht="12.75">
      <c r="L73" s="52"/>
    </row>
    <row r="74" ht="12.75">
      <c r="L74" s="52"/>
    </row>
    <row r="75" ht="12.75">
      <c r="L75" s="52"/>
    </row>
    <row r="76" ht="12.75">
      <c r="L76" s="52"/>
    </row>
    <row r="77" ht="12.75">
      <c r="L77" s="52"/>
    </row>
    <row r="78" ht="12.75">
      <c r="L78" s="52"/>
    </row>
    <row r="79" ht="12.75">
      <c r="L79" s="52"/>
    </row>
  </sheetData>
  <autoFilter ref="A1:M1"/>
  <mergeCells count="1">
    <mergeCell ref="N19:O19"/>
  </mergeCell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.</cp:lastModifiedBy>
  <dcterms:created xsi:type="dcterms:W3CDTF">2001-03-18T16:13:12Z</dcterms:created>
  <dcterms:modified xsi:type="dcterms:W3CDTF">2004-01-02T19:55:44Z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1991131709</vt:i4>
  </property>
  <property fmtid="{D5CDD505-2E9C-101B-9397-08002B2CF9AE}" pid="3" name="_EmailSubject">
    <vt:lpwstr>říjnové km a loučení se sezónou 2003</vt:lpwstr>
  </property>
  <property fmtid="{D5CDD505-2E9C-101B-9397-08002B2CF9AE}" pid="4" name="_AuthorEmail">
    <vt:lpwstr>gmv@volny.cz</vt:lpwstr>
  </property>
  <property fmtid="{D5CDD505-2E9C-101B-9397-08002B2CF9AE}" pid="5" name="_AuthorEmailDisplayName">
    <vt:lpwstr>Mares-GMV</vt:lpwstr>
  </property>
  <property fmtid="{D5CDD505-2E9C-101B-9397-08002B2CF9AE}" pid="6" name="_PreviousAdHocReviewCycleID">
    <vt:i4>-1472615870</vt:i4>
  </property>
  <property fmtid="{D5CDD505-2E9C-101B-9397-08002B2CF9AE}" pid="7" name="_ReviewingToolsShownOnce">
    <vt:lpwstr/>
  </property>
</Properties>
</file>